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CC6F" lockStructure="1"/>
  <bookViews>
    <workbookView xWindow="120" yWindow="105" windowWidth="20730" windowHeight="9915"/>
  </bookViews>
  <sheets>
    <sheet name="ไตรมาส 2" sheetId="2" r:id="rId1"/>
  </sheets>
  <calcPr calcId="144525"/>
</workbook>
</file>

<file path=xl/calcChain.xml><?xml version="1.0" encoding="utf-8"?>
<calcChain xmlns="http://schemas.openxmlformats.org/spreadsheetml/2006/main">
  <c r="H71" i="2" l="1"/>
  <c r="I73" i="2" l="1"/>
  <c r="I68" i="2"/>
  <c r="I67" i="2"/>
  <c r="I66" i="2"/>
  <c r="I65" i="2"/>
  <c r="I62" i="2" l="1"/>
  <c r="I63" i="2"/>
  <c r="I50" i="2" l="1"/>
  <c r="I46" i="2"/>
  <c r="I43" i="2"/>
  <c r="I37" i="2"/>
  <c r="I35" i="2"/>
  <c r="I34" i="2"/>
  <c r="I33" i="2"/>
  <c r="K33" i="2" s="1"/>
  <c r="I30" i="2"/>
  <c r="I28" i="2"/>
  <c r="I26" i="2"/>
  <c r="I21" i="2"/>
  <c r="I19" i="2"/>
  <c r="I15" i="2"/>
  <c r="I13" i="2"/>
  <c r="I12" i="2"/>
  <c r="I11" i="2"/>
  <c r="I10" i="2"/>
  <c r="K10" i="2" s="1"/>
  <c r="I9" i="2"/>
  <c r="K8" i="2"/>
  <c r="I8" i="2"/>
  <c r="K30" i="2"/>
  <c r="I31" i="2"/>
  <c r="I27" i="2"/>
  <c r="K24" i="2"/>
  <c r="I18" i="2"/>
  <c r="H67" i="2"/>
  <c r="I69" i="2" l="1"/>
  <c r="K46" i="2" l="1"/>
  <c r="K32" i="2"/>
  <c r="H68" i="2"/>
  <c r="H39" i="2"/>
  <c r="H73" i="2"/>
  <c r="K73" i="2" s="1"/>
  <c r="H69" i="2"/>
  <c r="K69" i="2" s="1"/>
  <c r="K68" i="2"/>
  <c r="K67" i="2"/>
  <c r="H66" i="2"/>
  <c r="K66" i="2" s="1"/>
  <c r="H65" i="2"/>
  <c r="K65" i="2" s="1"/>
  <c r="K63" i="2"/>
  <c r="H62" i="2"/>
  <c r="K54" i="2"/>
  <c r="K51" i="2"/>
  <c r="K50" i="2"/>
  <c r="K49" i="2"/>
  <c r="K43" i="2"/>
  <c r="K38" i="2"/>
  <c r="K37" i="2"/>
  <c r="K36" i="2"/>
  <c r="K35" i="2"/>
  <c r="K34" i="2"/>
  <c r="K31" i="2"/>
  <c r="K29" i="2"/>
  <c r="K28" i="2"/>
  <c r="K27" i="2"/>
  <c r="K26" i="2"/>
  <c r="K21" i="2"/>
  <c r="K19" i="2"/>
  <c r="K18" i="2"/>
  <c r="K17" i="2"/>
  <c r="K16" i="2"/>
  <c r="K15" i="2"/>
  <c r="K14" i="2"/>
  <c r="K13" i="2"/>
  <c r="K12" i="2"/>
  <c r="K11" i="2"/>
  <c r="K9" i="2"/>
  <c r="K39" i="2" l="1"/>
  <c r="K22" i="2"/>
  <c r="K62" i="2"/>
  <c r="I39" i="2" l="1"/>
  <c r="I55" i="2" l="1"/>
  <c r="I44" i="2"/>
  <c r="I71" i="2" l="1"/>
  <c r="H64" i="2"/>
  <c r="I64" i="2"/>
  <c r="H55" i="2"/>
  <c r="I52" i="2"/>
  <c r="H52" i="2"/>
  <c r="I47" i="2"/>
  <c r="H47" i="2"/>
  <c r="H44" i="2"/>
  <c r="K44" i="2"/>
  <c r="I22" i="2"/>
  <c r="H22" i="2"/>
  <c r="K55" i="2" l="1"/>
  <c r="K52" i="2"/>
  <c r="K71" i="2"/>
  <c r="I74" i="2"/>
  <c r="I56" i="2"/>
  <c r="H74" i="2"/>
  <c r="K47" i="2"/>
  <c r="H56" i="2"/>
  <c r="K64" i="2"/>
  <c r="K56" i="2" l="1"/>
  <c r="K74" i="2"/>
</calcChain>
</file>

<file path=xl/sharedStrings.xml><?xml version="1.0" encoding="utf-8"?>
<sst xmlns="http://schemas.openxmlformats.org/spreadsheetml/2006/main" count="153" uniqueCount="81">
  <si>
    <t>องค์การบริหารส่วนตำบลเมืองคง อำเภอคง จังหวัดนครราชสีมา</t>
  </si>
  <si>
    <t>รายการ</t>
  </si>
  <si>
    <t>รายรับ</t>
  </si>
  <si>
    <t>ภาษีโรงเรือนและที่ดิน</t>
  </si>
  <si>
    <t>ภาษีบำรุงท้องที่</t>
  </si>
  <si>
    <t>ภาษีป้าย</t>
  </si>
  <si>
    <t>ภาษีมูลค่าเพิ่มตาม พ.ร.บ. กำหนดแผนฯ</t>
  </si>
  <si>
    <t>ภาษีมูลค่าเพิ่ม 1 ใน 9</t>
  </si>
  <si>
    <t>ภาษีธุรกิจเฉพาะ</t>
  </si>
  <si>
    <t>ภาษีสุรา</t>
  </si>
  <si>
    <t>ภาษีสรรพสามิต</t>
  </si>
  <si>
    <t>ค่าภาคหลวงฯ ป่าไม้</t>
  </si>
  <si>
    <t>ค่าภาคหลวงแร่</t>
  </si>
  <si>
    <t>ค่าภาคหลวงปิโตรเลียม</t>
  </si>
  <si>
    <t>ค่าธรรมเนียมจดทะเบียนสิทธิและนิติกรรมที่ดิน</t>
  </si>
  <si>
    <t>ภาษียาสูบ</t>
  </si>
  <si>
    <t>ภาษีและค่าธรรมเนียมรถยนต์</t>
  </si>
  <si>
    <t>ประมาณการรายรับ</t>
  </si>
  <si>
    <t>รับจริง</t>
  </si>
  <si>
    <t>รวม</t>
  </si>
  <si>
    <t>หมวดภาษีอากร</t>
  </si>
  <si>
    <t>1.</t>
  </si>
  <si>
    <t>2.</t>
  </si>
  <si>
    <t>หมวดค่าธรรมเนียม ค่าปรับ และใบอนุญาต</t>
  </si>
  <si>
    <t>บัญชีรายละเอียดรายรับ-รายจ่ายจริง</t>
  </si>
  <si>
    <t>ค่าธรรมเนียมเกี่ยวกับใบอนุญาตการขายสุรา</t>
  </si>
  <si>
    <t>ค่าธรรมเนียมเกี่ยวกับใบอนุญาตการพนัน</t>
  </si>
  <si>
    <t>ค่าธรรมเนียมเกี่ยวกับการควบคุมอาคาร</t>
  </si>
  <si>
    <t>ค่าธรรมเนียมเก็บขนอุจจาระหรือสิ่งปฏิกูล</t>
  </si>
  <si>
    <t>ค่าธรรมเนียมอื่น ๆ</t>
  </si>
  <si>
    <t>ค่าปรับผู้กระทำผิดกฎหมายจราจรทางบก</t>
  </si>
  <si>
    <t>ค่าปรับการผิดสัญญา</t>
  </si>
  <si>
    <t>ค่าใบอนุญาตประกอบการค้าสำหรับกิจการที่เป็นอันตรายฯ</t>
  </si>
  <si>
    <t>ค่าใบอนุญาตจำหน่ายสินค้าในที่หรือทางสาธารณะ</t>
  </si>
  <si>
    <t>ค่าใบอนุญาตเกี่ยวกับการควบคุมอาคาร</t>
  </si>
  <si>
    <t>ค่าใบอนุญาตอื่น ๆ</t>
  </si>
  <si>
    <t>ค่าธรรมเนียมปิดป้ายประกาศฯ</t>
  </si>
  <si>
    <t>ค่าใบอนุญาตให้ตั้งตลาด (เอกชน)</t>
  </si>
  <si>
    <t xml:space="preserve">ก. </t>
  </si>
  <si>
    <t>3.</t>
  </si>
  <si>
    <t>ค่าดอกเบี้ยเงินฝากธนาคาร</t>
  </si>
  <si>
    <t>4.</t>
  </si>
  <si>
    <t>หมวดรายได้จากทรัพย์สิน</t>
  </si>
  <si>
    <t>หมวดเงินอุดหนุน</t>
  </si>
  <si>
    <t>เงินอุดหนุนทั่วไป</t>
  </si>
  <si>
    <t>5.</t>
  </si>
  <si>
    <t>หมวดรายได้เบ็ดเตล็ด</t>
  </si>
  <si>
    <t>ค่าขายแบบแปลน</t>
  </si>
  <si>
    <t>ค่ารับรองสำเนาและค่าถ่ายเอกสาร</t>
  </si>
  <si>
    <t>รายได้เบ็ดเตล็ดอื่น ๆ</t>
  </si>
  <si>
    <t>หมวดรายได้จากทุน</t>
  </si>
  <si>
    <t>6.</t>
  </si>
  <si>
    <t>ค่าขายทอดตลาดทรัพย์สิน</t>
  </si>
  <si>
    <t>รวมรายรับทั้งสิ้น</t>
  </si>
  <si>
    <t>รายจ่าย</t>
  </si>
  <si>
    <t>ก.</t>
  </si>
  <si>
    <t>รายจ่ายประจำ</t>
  </si>
  <si>
    <t>รายจ่ายงบกลาง</t>
  </si>
  <si>
    <t>รายจ่ายตามข้อผูกพัน</t>
  </si>
  <si>
    <t>เงินสำรองจ่าย</t>
  </si>
  <si>
    <t>หมวดเงินเดือนและค่าจ้างประจำ</t>
  </si>
  <si>
    <t>หมวดค่าจ้างชั่วคราว</t>
  </si>
  <si>
    <t>หมวดค่าตอบแทน ใช้สอยและวัสดุ</t>
  </si>
  <si>
    <t>หมวดค่าสาธารณูปโภค</t>
  </si>
  <si>
    <t>7.</t>
  </si>
  <si>
    <t>หมวดรายจ่ายอื่น</t>
  </si>
  <si>
    <t>ข.</t>
  </si>
  <si>
    <t>รายจ่ายเพื่อการพัฒนา</t>
  </si>
  <si>
    <t>หมวดค่าครุภัณฑ์ ที่ดิน และสิ่งก่อสร้าง</t>
  </si>
  <si>
    <t>รวมรายจ่ายทั้งสิ้น</t>
  </si>
  <si>
    <t>+ สูง/ - ต่ำ</t>
  </si>
  <si>
    <t>-</t>
  </si>
  <si>
    <t>+</t>
  </si>
  <si>
    <t>จ่ายจริง</t>
  </si>
  <si>
    <t>ประมาณการรายจ่าย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</si>
  <si>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</si>
  <si>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*ดูแยกประเภท</t>
  </si>
  <si>
    <t>*คชส.ดูแยกประเภท</t>
  </si>
  <si>
    <t>ค่าธรรมเนียมเกี่ยวกับทะเบียนพาณิชย์</t>
  </si>
  <si>
    <t>ค่าใบอนุญาตให้จัดตั้งสถานที่สะสมอาหาร</t>
  </si>
  <si>
    <t>ประจำปีงบประมาณ พ.ศ. 2561 (1 ตุลาคม 2560 - 31 มีนาคม 2561)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</si>
</sst>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i/>
      <sz val="10"/>
      <name val="TH SarabunPSK"/>
      <family val="2"/>
    </font>
    <font>
      <i/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43" fontId="2" fillId="0" borderId="5" xfId="1" applyFont="1" applyBorder="1"/>
    <xf numFmtId="43" fontId="2" fillId="0" borderId="8" xfId="1" applyFont="1" applyBorder="1"/>
    <xf numFmtId="43" fontId="2" fillId="0" borderId="8" xfId="0" applyNumberFormat="1" applyFont="1" applyBorder="1"/>
    <xf numFmtId="43" fontId="2" fillId="0" borderId="12" xfId="1" applyFont="1" applyBorder="1"/>
    <xf numFmtId="0" fontId="2" fillId="0" borderId="5" xfId="0" applyFont="1" applyBorder="1" applyAlignment="1">
      <alignment horizontal="center"/>
    </xf>
    <xf numFmtId="43" fontId="2" fillId="0" borderId="4" xfId="1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8" xfId="0" applyFont="1" applyBorder="1"/>
    <xf numFmtId="43" fontId="2" fillId="0" borderId="12" xfId="0" applyNumberFormat="1" applyFont="1" applyBorder="1"/>
    <xf numFmtId="0" fontId="4" fillId="0" borderId="14" xfId="0" applyFont="1" applyBorder="1" applyAlignment="1">
      <alignment horizontal="center"/>
    </xf>
    <xf numFmtId="43" fontId="4" fillId="0" borderId="13" xfId="0" applyNumberFormat="1" applyFont="1" applyBorder="1"/>
    <xf numFmtId="0" fontId="2" fillId="0" borderId="0" xfId="0" applyFont="1" applyBorder="1"/>
    <xf numFmtId="0" fontId="2" fillId="0" borderId="9" xfId="0" applyFont="1" applyBorder="1"/>
    <xf numFmtId="0" fontId="2" fillId="0" borderId="10" xfId="0" applyFont="1" applyBorder="1"/>
    <xf numFmtId="43" fontId="2" fillId="0" borderId="5" xfId="1" applyFont="1" applyFill="1" applyBorder="1"/>
    <xf numFmtId="43" fontId="4" fillId="0" borderId="4" xfId="1" applyFont="1" applyBorder="1"/>
    <xf numFmtId="43" fontId="4" fillId="0" borderId="12" xfId="0" applyNumberFormat="1" applyFont="1" applyBorder="1"/>
    <xf numFmtId="0" fontId="2" fillId="0" borderId="0" xfId="0" applyFont="1"/>
    <xf numFmtId="43" fontId="2" fillId="0" borderId="7" xfId="1" applyFont="1" applyBorder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6" fillId="0" borderId="9" xfId="0" applyFont="1" applyBorder="1"/>
    <xf numFmtId="0" fontId="2" fillId="0" borderId="16" xfId="0" applyFont="1" applyBorder="1"/>
    <xf numFmtId="0" fontId="2" fillId="0" borderId="11" xfId="0" applyFont="1" applyBorder="1"/>
    <xf numFmtId="0" fontId="2" fillId="0" borderId="7" xfId="0" applyFont="1" applyBorder="1"/>
    <xf numFmtId="49" fontId="4" fillId="0" borderId="0" xfId="0" applyNumberFormat="1" applyFont="1" applyBorder="1" applyAlignment="1">
      <alignment horizontal="left"/>
    </xf>
    <xf numFmtId="187" fontId="4" fillId="0" borderId="0" xfId="0" applyNumberFormat="1" applyFont="1" applyBorder="1"/>
    <xf numFmtId="0" fontId="4" fillId="0" borderId="0" xfId="0" applyFont="1" applyBorder="1"/>
    <xf numFmtId="0" fontId="2" fillId="0" borderId="0" xfId="0" applyFont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2" fontId="2" fillId="0" borderId="0" xfId="0" applyNumberFormat="1" applyFont="1" applyBorder="1"/>
    <xf numFmtId="43" fontId="2" fillId="0" borderId="6" xfId="1" applyFont="1" applyBorder="1"/>
    <xf numFmtId="2" fontId="4" fillId="0" borderId="0" xfId="0" applyNumberFormat="1" applyFont="1" applyBorder="1"/>
    <xf numFmtId="187" fontId="2" fillId="0" borderId="0" xfId="0" applyNumberFormat="1" applyFont="1" applyBorder="1" applyAlignment="1">
      <alignment horizontal="left"/>
    </xf>
    <xf numFmtId="43" fontId="2" fillId="0" borderId="0" xfId="1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Border="1"/>
    <xf numFmtId="43" fontId="4" fillId="0" borderId="14" xfId="1" applyFont="1" applyBorder="1"/>
    <xf numFmtId="43" fontId="4" fillId="0" borderId="15" xfId="1" applyFont="1" applyFill="1" applyBorder="1"/>
    <xf numFmtId="43" fontId="2" fillId="0" borderId="0" xfId="0" applyNumberFormat="1" applyFont="1"/>
    <xf numFmtId="49" fontId="4" fillId="0" borderId="0" xfId="0" applyNumberFormat="1" applyFont="1" applyAlignment="1">
      <alignment horizontal="left"/>
    </xf>
    <xf numFmtId="187" fontId="4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5" fillId="0" borderId="0" xfId="0" applyFont="1" applyFill="1"/>
    <xf numFmtId="49" fontId="2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L114"/>
  <sheetViews>
    <sheetView tabSelected="1" topLeftCell="A34" workbookViewId="0">
      <selection activeCell="H37" sqref="H37"/>
    </sheetView>
  </sheetViews>
  <sheetFormatPr defaultRowHeight="20.25"/>
  <cols>
    <col min="1" max="2" width="3.375" style="21" customWidth="1"/>
    <col min="3" max="3" width="6" style="21" customWidth="1"/>
    <col min="4" max="6" width="9" style="21"/>
    <col min="7" max="7" width="7.5" style="21" customWidth="1"/>
    <col min="8" max="8" width="20.375" style="21" bestFit="1" customWidth="1"/>
    <col min="9" max="9" width="42.75" style="21" bestFit="1" customWidth="1"/>
    <col min="10" max="10" width="3.625" style="21" customWidth="1"/>
    <col min="11" max="11" width="15.875" style="21" bestFit="1" customWidth="1"/>
    <col min="12" max="16384" width="9" style="21"/>
  </cols>
  <sheetData>
    <row r="1" spans="1:11">
      <c r="A1" s="55" t="s">
        <v>24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>
      <c r="A2" s="55" t="s">
        <v>80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>
      <c r="A4" s="51" t="s">
        <v>1</v>
      </c>
      <c r="B4" s="52"/>
      <c r="C4" s="52"/>
      <c r="D4" s="52"/>
      <c r="E4" s="52"/>
      <c r="F4" s="52"/>
      <c r="G4" s="56"/>
      <c r="H4" s="22" t="s">
        <v>17</v>
      </c>
      <c r="I4" s="22" t="s">
        <v>18</v>
      </c>
      <c r="J4" s="53" t="s">
        <v>70</v>
      </c>
      <c r="K4" s="54"/>
    </row>
    <row r="5" spans="1:11" ht="20.25" customHeight="1">
      <c r="A5" s="24" t="s">
        <v>2</v>
      </c>
      <c r="B5" s="25"/>
      <c r="C5" s="13"/>
      <c r="D5" s="13"/>
      <c r="E5" s="13"/>
      <c r="F5" s="13"/>
      <c r="G5" s="13"/>
      <c r="H5" s="26"/>
      <c r="I5" s="8"/>
      <c r="J5" s="14"/>
      <c r="K5" s="15"/>
    </row>
    <row r="6" spans="1:11" ht="20.25" customHeight="1">
      <c r="A6" s="8" t="s">
        <v>38</v>
      </c>
      <c r="B6" s="13" t="s">
        <v>2</v>
      </c>
      <c r="C6" s="13"/>
      <c r="D6" s="13"/>
      <c r="E6" s="13"/>
      <c r="F6" s="13"/>
      <c r="G6" s="13"/>
      <c r="H6" s="27"/>
      <c r="I6" s="8"/>
      <c r="J6" s="8"/>
      <c r="K6" s="9"/>
    </row>
    <row r="7" spans="1:11" ht="20.25" customHeight="1">
      <c r="A7" s="8"/>
      <c r="B7" s="28" t="s">
        <v>21</v>
      </c>
      <c r="C7" s="29" t="s">
        <v>20</v>
      </c>
      <c r="D7" s="30"/>
      <c r="E7" s="13"/>
      <c r="F7" s="13"/>
      <c r="G7" s="13"/>
      <c r="H7" s="27"/>
      <c r="I7" s="8"/>
      <c r="J7" s="8"/>
      <c r="K7" s="9"/>
    </row>
    <row r="8" spans="1:11" ht="20.25" customHeight="1">
      <c r="A8" s="8"/>
      <c r="B8" s="13"/>
      <c r="C8" s="31">
        <v>1.1000000000000001</v>
      </c>
      <c r="D8" s="13" t="s">
        <v>3</v>
      </c>
      <c r="E8" s="13"/>
      <c r="F8" s="13"/>
      <c r="G8" s="13"/>
      <c r="H8" s="20">
        <v>280000</v>
      </c>
      <c r="I8" s="1">
        <f>59467.75+79043+207321.67</f>
        <v>345832.42000000004</v>
      </c>
      <c r="J8" s="5" t="s">
        <v>72</v>
      </c>
      <c r="K8" s="2">
        <f>+I8-H8</f>
        <v>65832.420000000042</v>
      </c>
    </row>
    <row r="9" spans="1:11" ht="20.25" customHeight="1">
      <c r="A9" s="8"/>
      <c r="B9" s="13"/>
      <c r="C9" s="31">
        <v>1.2</v>
      </c>
      <c r="D9" s="13" t="s">
        <v>4</v>
      </c>
      <c r="E9" s="13"/>
      <c r="F9" s="13"/>
      <c r="G9" s="13"/>
      <c r="H9" s="20">
        <v>90000</v>
      </c>
      <c r="I9" s="1">
        <f>2647.6+5947.5+10366.71</f>
        <v>18961.809999999998</v>
      </c>
      <c r="J9" s="5" t="s">
        <v>71</v>
      </c>
      <c r="K9" s="2">
        <f>+H9-I9</f>
        <v>71038.19</v>
      </c>
    </row>
    <row r="10" spans="1:11" ht="20.25" customHeight="1">
      <c r="A10" s="8"/>
      <c r="B10" s="13"/>
      <c r="C10" s="31">
        <v>1.3</v>
      </c>
      <c r="D10" s="13" t="s">
        <v>5</v>
      </c>
      <c r="E10" s="13"/>
      <c r="F10" s="13"/>
      <c r="G10" s="13"/>
      <c r="H10" s="20">
        <v>40000</v>
      </c>
      <c r="I10" s="1">
        <f>3720+28295.75+16688</f>
        <v>48703.75</v>
      </c>
      <c r="J10" s="5" t="s">
        <v>72</v>
      </c>
      <c r="K10" s="2">
        <f>+I10-H10</f>
        <v>8703.75</v>
      </c>
    </row>
    <row r="11" spans="1:11" ht="20.25" customHeight="1">
      <c r="A11" s="8"/>
      <c r="B11" s="13"/>
      <c r="C11" s="31">
        <v>1.4</v>
      </c>
      <c r="D11" s="13" t="s">
        <v>6</v>
      </c>
      <c r="E11" s="13"/>
      <c r="F11" s="13"/>
      <c r="G11" s="13"/>
      <c r="H11" s="20">
        <v>8500000</v>
      </c>
      <c r="I11" s="1">
        <f>653591.8+1631579.73+855693.73+767375.23+734003.5</f>
        <v>4642243.99</v>
      </c>
      <c r="J11" s="5" t="s">
        <v>71</v>
      </c>
      <c r="K11" s="2">
        <f t="shared" ref="K11:K19" si="0">+H11-I11</f>
        <v>3857756.01</v>
      </c>
    </row>
    <row r="12" spans="1:11" ht="20.25" customHeight="1">
      <c r="A12" s="8"/>
      <c r="B12" s="13"/>
      <c r="C12" s="31">
        <v>1.5</v>
      </c>
      <c r="D12" s="13" t="s">
        <v>7</v>
      </c>
      <c r="E12" s="13"/>
      <c r="F12" s="13"/>
      <c r="G12" s="13"/>
      <c r="H12" s="20">
        <v>4000000</v>
      </c>
      <c r="I12" s="1">
        <f>523528.07+381512.34+266940.68+384441.1+259756.5</f>
        <v>1816178.69</v>
      </c>
      <c r="J12" s="5" t="s">
        <v>71</v>
      </c>
      <c r="K12" s="2">
        <f t="shared" si="0"/>
        <v>2183821.31</v>
      </c>
    </row>
    <row r="13" spans="1:11" ht="20.25" customHeight="1">
      <c r="A13" s="8"/>
      <c r="B13" s="13"/>
      <c r="C13" s="31">
        <v>1.6</v>
      </c>
      <c r="D13" s="13" t="s">
        <v>8</v>
      </c>
      <c r="E13" s="13"/>
      <c r="F13" s="13"/>
      <c r="G13" s="13"/>
      <c r="H13" s="20">
        <v>250000</v>
      </c>
      <c r="I13" s="1">
        <f>17279.93+30373.56+27435.19+13485.25</f>
        <v>88573.930000000008</v>
      </c>
      <c r="J13" s="5" t="s">
        <v>71</v>
      </c>
      <c r="K13" s="2">
        <f t="shared" si="0"/>
        <v>161426.07</v>
      </c>
    </row>
    <row r="14" spans="1:11" ht="20.25" customHeight="1">
      <c r="A14" s="8"/>
      <c r="B14" s="13"/>
      <c r="C14" s="31">
        <v>1.7</v>
      </c>
      <c r="D14" s="13" t="s">
        <v>9</v>
      </c>
      <c r="E14" s="13"/>
      <c r="F14" s="13"/>
      <c r="G14" s="13"/>
      <c r="H14" s="20">
        <v>2000000</v>
      </c>
      <c r="I14" s="1">
        <v>0</v>
      </c>
      <c r="J14" s="5" t="s">
        <v>71</v>
      </c>
      <c r="K14" s="2">
        <f t="shared" si="0"/>
        <v>2000000</v>
      </c>
    </row>
    <row r="15" spans="1:11" ht="20.25" customHeight="1">
      <c r="A15" s="8"/>
      <c r="B15" s="13"/>
      <c r="C15" s="31">
        <v>1.8</v>
      </c>
      <c r="D15" s="13" t="s">
        <v>10</v>
      </c>
      <c r="E15" s="13"/>
      <c r="F15" s="13"/>
      <c r="G15" s="13"/>
      <c r="H15" s="20">
        <v>3800000</v>
      </c>
      <c r="I15" s="1">
        <f>979912.71+425887.85+589776.33+605690.55+611513.55</f>
        <v>3212780.99</v>
      </c>
      <c r="J15" s="5" t="s">
        <v>71</v>
      </c>
      <c r="K15" s="2">
        <f t="shared" si="0"/>
        <v>587219.00999999978</v>
      </c>
    </row>
    <row r="16" spans="1:11" ht="20.25" customHeight="1">
      <c r="A16" s="8"/>
      <c r="B16" s="13"/>
      <c r="C16" s="31">
        <v>1.9</v>
      </c>
      <c r="D16" s="13" t="s">
        <v>11</v>
      </c>
      <c r="E16" s="13"/>
      <c r="F16" s="13"/>
      <c r="G16" s="13"/>
      <c r="H16" s="20">
        <v>2000</v>
      </c>
      <c r="I16" s="1">
        <v>0</v>
      </c>
      <c r="J16" s="5" t="s">
        <v>71</v>
      </c>
      <c r="K16" s="2">
        <f t="shared" si="0"/>
        <v>2000</v>
      </c>
    </row>
    <row r="17" spans="1:11" ht="20.25" customHeight="1">
      <c r="A17" s="8"/>
      <c r="B17" s="13"/>
      <c r="C17" s="32">
        <v>1.1000000000000001</v>
      </c>
      <c r="D17" s="13" t="s">
        <v>12</v>
      </c>
      <c r="E17" s="13"/>
      <c r="F17" s="13"/>
      <c r="G17" s="13"/>
      <c r="H17" s="20">
        <v>100000</v>
      </c>
      <c r="I17" s="1">
        <v>25940.97</v>
      </c>
      <c r="J17" s="5" t="s">
        <v>71</v>
      </c>
      <c r="K17" s="2">
        <f t="shared" si="0"/>
        <v>74059.03</v>
      </c>
    </row>
    <row r="18" spans="1:11" ht="20.25" customHeight="1">
      <c r="A18" s="8"/>
      <c r="B18" s="13"/>
      <c r="C18" s="32">
        <v>1.1100000000000001</v>
      </c>
      <c r="D18" s="13" t="s">
        <v>13</v>
      </c>
      <c r="E18" s="13"/>
      <c r="F18" s="13"/>
      <c r="G18" s="13"/>
      <c r="H18" s="20">
        <v>100000</v>
      </c>
      <c r="I18" s="1">
        <f>11556.73+11499.22</f>
        <v>23055.949999999997</v>
      </c>
      <c r="J18" s="5" t="s">
        <v>71</v>
      </c>
      <c r="K18" s="2">
        <f t="shared" si="0"/>
        <v>76944.05</v>
      </c>
    </row>
    <row r="19" spans="1:11" ht="20.25" customHeight="1">
      <c r="A19" s="8"/>
      <c r="B19" s="13"/>
      <c r="C19" s="32">
        <v>1.1200000000000001</v>
      </c>
      <c r="D19" s="13" t="s">
        <v>14</v>
      </c>
      <c r="E19" s="13"/>
      <c r="F19" s="13"/>
      <c r="G19" s="13"/>
      <c r="H19" s="20">
        <v>1300000</v>
      </c>
      <c r="I19" s="1">
        <f>57434+49053+87112+33883+192425</f>
        <v>419907</v>
      </c>
      <c r="J19" s="5" t="s">
        <v>71</v>
      </c>
      <c r="K19" s="2">
        <f t="shared" si="0"/>
        <v>880093</v>
      </c>
    </row>
    <row r="20" spans="1:11" ht="20.25" customHeight="1">
      <c r="A20" s="8"/>
      <c r="B20" s="13"/>
      <c r="C20" s="32">
        <v>1.1299999999999999</v>
      </c>
      <c r="D20" s="13" t="s">
        <v>15</v>
      </c>
      <c r="E20" s="13"/>
      <c r="F20" s="13"/>
      <c r="G20" s="13"/>
      <c r="H20" s="20">
        <v>0</v>
      </c>
      <c r="I20" s="1">
        <v>0</v>
      </c>
      <c r="J20" s="5"/>
      <c r="K20" s="2">
        <v>0</v>
      </c>
    </row>
    <row r="21" spans="1:11" ht="20.25" customHeight="1">
      <c r="A21" s="8"/>
      <c r="B21" s="13"/>
      <c r="C21" s="32">
        <v>1.1399999999999999</v>
      </c>
      <c r="D21" s="13" t="s">
        <v>16</v>
      </c>
      <c r="E21" s="13"/>
      <c r="F21" s="13"/>
      <c r="G21" s="13"/>
      <c r="H21" s="20">
        <v>500000</v>
      </c>
      <c r="I21" s="1">
        <f>64693.17+49424.09+91740.82+56851.12+7689.07</f>
        <v>270398.27</v>
      </c>
      <c r="J21" s="5" t="s">
        <v>71</v>
      </c>
      <c r="K21" s="2">
        <f>+H21-I21</f>
        <v>229601.72999999998</v>
      </c>
    </row>
    <row r="22" spans="1:11" ht="20.25" customHeight="1" thickBot="1">
      <c r="A22" s="8"/>
      <c r="B22" s="13"/>
      <c r="C22" s="33"/>
      <c r="D22" s="13"/>
      <c r="E22" s="13" t="s">
        <v>19</v>
      </c>
      <c r="F22" s="13"/>
      <c r="G22" s="13"/>
      <c r="H22" s="34">
        <f>SUM(H8:H21)</f>
        <v>20962000</v>
      </c>
      <c r="I22" s="6">
        <f>SUM(I8:I21)</f>
        <v>10912577.77</v>
      </c>
      <c r="J22" s="7" t="s">
        <v>71</v>
      </c>
      <c r="K22" s="4">
        <f>+K9+K11+K12+K13+K14+K15+K16+K17+K18+K19+K21+-K8-K10</f>
        <v>10049422.23</v>
      </c>
    </row>
    <row r="23" spans="1:11" ht="20.25" customHeight="1" thickTop="1">
      <c r="A23" s="8"/>
      <c r="B23" s="28" t="s">
        <v>22</v>
      </c>
      <c r="C23" s="35" t="s">
        <v>23</v>
      </c>
      <c r="D23" s="30"/>
      <c r="E23" s="30"/>
      <c r="F23" s="30"/>
      <c r="G23" s="13"/>
      <c r="H23" s="20"/>
      <c r="I23" s="8"/>
      <c r="J23" s="8"/>
      <c r="K23" s="9"/>
    </row>
    <row r="24" spans="1:11" ht="20.25" customHeight="1">
      <c r="A24" s="8"/>
      <c r="B24" s="13"/>
      <c r="C24" s="36">
        <v>2.1</v>
      </c>
      <c r="D24" s="13" t="s">
        <v>25</v>
      </c>
      <c r="E24" s="13"/>
      <c r="F24" s="13"/>
      <c r="G24" s="13"/>
      <c r="H24" s="20">
        <v>1600</v>
      </c>
      <c r="I24" s="1">
        <v>1716.9</v>
      </c>
      <c r="J24" s="5" t="s">
        <v>72</v>
      </c>
      <c r="K24" s="2">
        <f>+I24-H24</f>
        <v>116.90000000000009</v>
      </c>
    </row>
    <row r="25" spans="1:11" ht="20.25" customHeight="1">
      <c r="A25" s="8"/>
      <c r="B25" s="13"/>
      <c r="C25" s="36">
        <v>2.2000000000000002</v>
      </c>
      <c r="D25" s="13" t="s">
        <v>26</v>
      </c>
      <c r="E25" s="13"/>
      <c r="F25" s="13"/>
      <c r="G25" s="13"/>
      <c r="H25" s="20">
        <v>0</v>
      </c>
      <c r="I25" s="1">
        <v>0</v>
      </c>
      <c r="J25" s="5"/>
      <c r="K25" s="2">
        <v>0</v>
      </c>
    </row>
    <row r="26" spans="1:11" ht="20.25" customHeight="1">
      <c r="A26" s="8"/>
      <c r="B26" s="13"/>
      <c r="C26" s="36">
        <v>2.2999999999999998</v>
      </c>
      <c r="D26" s="13" t="s">
        <v>27</v>
      </c>
      <c r="E26" s="13"/>
      <c r="F26" s="13"/>
      <c r="G26" s="13"/>
      <c r="H26" s="20">
        <v>3000</v>
      </c>
      <c r="I26" s="1">
        <f>424+300.5+132.5+232+602.25+207</f>
        <v>1898.25</v>
      </c>
      <c r="J26" s="5" t="s">
        <v>71</v>
      </c>
      <c r="K26" s="2">
        <f t="shared" ref="K26:K37" si="1">+H26-I26</f>
        <v>1101.75</v>
      </c>
    </row>
    <row r="27" spans="1:11" ht="20.25" customHeight="1">
      <c r="A27" s="8"/>
      <c r="B27" s="13"/>
      <c r="C27" s="36">
        <v>2.4</v>
      </c>
      <c r="D27" s="13" t="s">
        <v>36</v>
      </c>
      <c r="E27" s="13"/>
      <c r="F27" s="13"/>
      <c r="G27" s="13"/>
      <c r="H27" s="20">
        <v>200</v>
      </c>
      <c r="I27" s="1">
        <f>20+20+40+30+40</f>
        <v>150</v>
      </c>
      <c r="J27" s="5" t="s">
        <v>71</v>
      </c>
      <c r="K27" s="2">
        <f t="shared" si="1"/>
        <v>50</v>
      </c>
    </row>
    <row r="28" spans="1:11" ht="20.25" customHeight="1">
      <c r="A28" s="8"/>
      <c r="B28" s="13"/>
      <c r="C28" s="36">
        <v>2.5</v>
      </c>
      <c r="D28" s="13" t="s">
        <v>78</v>
      </c>
      <c r="E28" s="13"/>
      <c r="F28" s="13"/>
      <c r="G28" s="13"/>
      <c r="H28" s="20">
        <v>1000</v>
      </c>
      <c r="I28" s="1">
        <f>90+200+50+50+120+100</f>
        <v>610</v>
      </c>
      <c r="J28" s="5" t="s">
        <v>71</v>
      </c>
      <c r="K28" s="2">
        <f t="shared" si="1"/>
        <v>390</v>
      </c>
    </row>
    <row r="29" spans="1:11" ht="20.25" customHeight="1">
      <c r="A29" s="8"/>
      <c r="B29" s="13"/>
      <c r="C29" s="36">
        <v>2.6</v>
      </c>
      <c r="D29" s="13" t="s">
        <v>29</v>
      </c>
      <c r="E29" s="13"/>
      <c r="F29" s="13"/>
      <c r="G29" s="13"/>
      <c r="H29" s="20">
        <v>1000</v>
      </c>
      <c r="I29" s="1">
        <v>3530</v>
      </c>
      <c r="J29" s="5" t="s">
        <v>72</v>
      </c>
      <c r="K29" s="2">
        <f>+I29-H29</f>
        <v>2530</v>
      </c>
    </row>
    <row r="30" spans="1:11" ht="20.25" customHeight="1">
      <c r="A30" s="8"/>
      <c r="B30" s="13"/>
      <c r="C30" s="36">
        <v>2.7</v>
      </c>
      <c r="D30" s="13" t="s">
        <v>30</v>
      </c>
      <c r="E30" s="13"/>
      <c r="F30" s="13"/>
      <c r="G30" s="13"/>
      <c r="H30" s="20">
        <v>1000</v>
      </c>
      <c r="I30" s="1">
        <f>800+200+800+800</f>
        <v>2600</v>
      </c>
      <c r="J30" s="5" t="s">
        <v>72</v>
      </c>
      <c r="K30" s="2">
        <f>+I30-H30</f>
        <v>1600</v>
      </c>
    </row>
    <row r="31" spans="1:11" ht="20.25" customHeight="1">
      <c r="A31" s="8"/>
      <c r="B31" s="13"/>
      <c r="C31" s="36">
        <v>2.8</v>
      </c>
      <c r="D31" s="13" t="s">
        <v>31</v>
      </c>
      <c r="E31" s="13"/>
      <c r="F31" s="13"/>
      <c r="G31" s="13"/>
      <c r="H31" s="20">
        <v>100000</v>
      </c>
      <c r="I31" s="1">
        <f>9624+29004+11582</f>
        <v>50210</v>
      </c>
      <c r="J31" s="5" t="s">
        <v>71</v>
      </c>
      <c r="K31" s="2">
        <f>+H31-I31</f>
        <v>49790</v>
      </c>
    </row>
    <row r="32" spans="1:11" ht="20.25" customHeight="1">
      <c r="A32" s="8"/>
      <c r="B32" s="13"/>
      <c r="C32" s="36">
        <v>2.9</v>
      </c>
      <c r="D32" s="13" t="s">
        <v>28</v>
      </c>
      <c r="E32" s="13"/>
      <c r="F32" s="13"/>
      <c r="G32" s="13"/>
      <c r="H32" s="20">
        <v>3000</v>
      </c>
      <c r="I32" s="1">
        <v>6000</v>
      </c>
      <c r="J32" s="5" t="s">
        <v>72</v>
      </c>
      <c r="K32" s="2">
        <f>+I32-H32</f>
        <v>3000</v>
      </c>
    </row>
    <row r="33" spans="1:11" ht="20.25" customHeight="1">
      <c r="A33" s="8"/>
      <c r="B33" s="13"/>
      <c r="C33" s="32">
        <v>2.1</v>
      </c>
      <c r="D33" s="13" t="s">
        <v>32</v>
      </c>
      <c r="E33" s="13"/>
      <c r="F33" s="13"/>
      <c r="G33" s="13"/>
      <c r="H33" s="20">
        <v>20000</v>
      </c>
      <c r="I33" s="1">
        <f>7000+9400+15900</f>
        <v>32300</v>
      </c>
      <c r="J33" s="5" t="s">
        <v>72</v>
      </c>
      <c r="K33" s="2">
        <f>+I33-H33</f>
        <v>12300</v>
      </c>
    </row>
    <row r="34" spans="1:11" ht="20.25" customHeight="1">
      <c r="A34" s="8"/>
      <c r="B34" s="13"/>
      <c r="C34" s="32">
        <v>2.11</v>
      </c>
      <c r="D34" s="13" t="s">
        <v>79</v>
      </c>
      <c r="E34" s="13"/>
      <c r="F34" s="13"/>
      <c r="G34" s="13"/>
      <c r="H34" s="20">
        <v>0</v>
      </c>
      <c r="I34" s="1">
        <f>300+3000+300+500</f>
        <v>4100</v>
      </c>
      <c r="J34" s="5" t="s">
        <v>72</v>
      </c>
      <c r="K34" s="2">
        <f>+I34-H34</f>
        <v>4100</v>
      </c>
    </row>
    <row r="35" spans="1:11" ht="20.25" customHeight="1">
      <c r="A35" s="8"/>
      <c r="B35" s="13"/>
      <c r="C35" s="32">
        <v>2.12</v>
      </c>
      <c r="D35" s="13" t="s">
        <v>33</v>
      </c>
      <c r="E35" s="13"/>
      <c r="F35" s="13"/>
      <c r="G35" s="13"/>
      <c r="H35" s="20">
        <v>2400</v>
      </c>
      <c r="I35" s="1">
        <f>300+300+900</f>
        <v>1500</v>
      </c>
      <c r="J35" s="5" t="s">
        <v>71</v>
      </c>
      <c r="K35" s="2">
        <f t="shared" si="1"/>
        <v>900</v>
      </c>
    </row>
    <row r="36" spans="1:11" ht="20.25" customHeight="1">
      <c r="A36" s="8"/>
      <c r="B36" s="13"/>
      <c r="C36" s="32">
        <v>2.13</v>
      </c>
      <c r="D36" s="13" t="s">
        <v>37</v>
      </c>
      <c r="E36" s="13"/>
      <c r="F36" s="13"/>
      <c r="G36" s="13"/>
      <c r="H36" s="20">
        <v>2000</v>
      </c>
      <c r="I36" s="1">
        <v>0</v>
      </c>
      <c r="J36" s="5" t="s">
        <v>71</v>
      </c>
      <c r="K36" s="2">
        <f t="shared" si="1"/>
        <v>2000</v>
      </c>
    </row>
    <row r="37" spans="1:11" ht="20.25" customHeight="1">
      <c r="A37" s="8"/>
      <c r="B37" s="13"/>
      <c r="C37" s="32">
        <v>2.14</v>
      </c>
      <c r="D37" s="13" t="s">
        <v>34</v>
      </c>
      <c r="E37" s="13"/>
      <c r="F37" s="13"/>
      <c r="G37" s="13"/>
      <c r="H37" s="20">
        <v>1500</v>
      </c>
      <c r="I37" s="1">
        <f>130+160+100+110+200+130</f>
        <v>830</v>
      </c>
      <c r="J37" s="5" t="s">
        <v>71</v>
      </c>
      <c r="K37" s="2">
        <f t="shared" si="1"/>
        <v>670</v>
      </c>
    </row>
    <row r="38" spans="1:11" ht="20.25" customHeight="1">
      <c r="A38" s="8"/>
      <c r="B38" s="13"/>
      <c r="C38" s="32">
        <v>2.15</v>
      </c>
      <c r="D38" s="13" t="s">
        <v>35</v>
      </c>
      <c r="E38" s="13"/>
      <c r="F38" s="13"/>
      <c r="G38" s="13"/>
      <c r="H38" s="20">
        <v>800</v>
      </c>
      <c r="I38" s="1">
        <v>60</v>
      </c>
      <c r="J38" s="5" t="s">
        <v>71</v>
      </c>
      <c r="K38" s="2">
        <f>+H38-I38</f>
        <v>740</v>
      </c>
    </row>
    <row r="39" spans="1:11" ht="20.25" customHeight="1" thickBot="1">
      <c r="A39" s="8"/>
      <c r="B39" s="13"/>
      <c r="C39" s="32"/>
      <c r="D39" s="13"/>
      <c r="E39" s="13" t="s">
        <v>19</v>
      </c>
      <c r="F39" s="13"/>
      <c r="G39" s="13"/>
      <c r="H39" s="34">
        <f>SUM(H24:H38)</f>
        <v>137500</v>
      </c>
      <c r="I39" s="6">
        <f>SUM(I24:I38)</f>
        <v>105505.15</v>
      </c>
      <c r="J39" s="7" t="s">
        <v>71</v>
      </c>
      <c r="K39" s="4">
        <f>+K26+K27+K28+K31-K33+K35+K36+K37+K38-K24-K29-K30-K32-K34</f>
        <v>31994.85</v>
      </c>
    </row>
    <row r="40" spans="1:11" s="39" customFormat="1" ht="13.5" customHeight="1" thickTop="1">
      <c r="A40" s="13"/>
      <c r="B40" s="13"/>
      <c r="C40" s="32"/>
      <c r="D40" s="13"/>
      <c r="E40" s="13"/>
      <c r="F40" s="13"/>
      <c r="G40" s="13"/>
      <c r="H40" s="37"/>
      <c r="I40" s="37"/>
      <c r="J40" s="38"/>
      <c r="K40" s="37"/>
    </row>
    <row r="41" spans="1:11">
      <c r="A41" s="51" t="s">
        <v>1</v>
      </c>
      <c r="B41" s="52"/>
      <c r="C41" s="52"/>
      <c r="D41" s="52"/>
      <c r="E41" s="52"/>
      <c r="F41" s="52"/>
      <c r="G41" s="52"/>
      <c r="H41" s="22" t="s">
        <v>17</v>
      </c>
      <c r="I41" s="22" t="s">
        <v>18</v>
      </c>
      <c r="J41" s="53" t="s">
        <v>70</v>
      </c>
      <c r="K41" s="54"/>
    </row>
    <row r="42" spans="1:11" ht="20.25" customHeight="1">
      <c r="A42" s="8"/>
      <c r="B42" s="28" t="s">
        <v>39</v>
      </c>
      <c r="C42" s="30" t="s">
        <v>42</v>
      </c>
      <c r="D42" s="30"/>
      <c r="E42" s="13"/>
      <c r="F42" s="13"/>
      <c r="G42" s="13"/>
      <c r="H42" s="8"/>
      <c r="I42" s="8"/>
      <c r="J42" s="14"/>
      <c r="K42" s="15"/>
    </row>
    <row r="43" spans="1:11" ht="20.25" customHeight="1">
      <c r="A43" s="8"/>
      <c r="B43" s="13"/>
      <c r="C43" s="31">
        <v>3.1</v>
      </c>
      <c r="D43" s="13" t="s">
        <v>40</v>
      </c>
      <c r="E43" s="13"/>
      <c r="F43" s="13"/>
      <c r="G43" s="13"/>
      <c r="H43" s="1">
        <v>400000</v>
      </c>
      <c r="I43" s="1">
        <f>80235.51+24361.72+1562.54</f>
        <v>106159.76999999999</v>
      </c>
      <c r="J43" s="5" t="s">
        <v>71</v>
      </c>
      <c r="K43" s="2">
        <f>+H43-I43</f>
        <v>293840.23</v>
      </c>
    </row>
    <row r="44" spans="1:11" ht="20.25" customHeight="1" thickBot="1">
      <c r="A44" s="8"/>
      <c r="B44" s="13"/>
      <c r="C44" s="13"/>
      <c r="D44" s="13"/>
      <c r="E44" s="13" t="s">
        <v>19</v>
      </c>
      <c r="F44" s="13"/>
      <c r="G44" s="13"/>
      <c r="H44" s="6">
        <f>SUM(H43)</f>
        <v>400000</v>
      </c>
      <c r="I44" s="6">
        <f>SUM(I43)</f>
        <v>106159.76999999999</v>
      </c>
      <c r="J44" s="7" t="s">
        <v>71</v>
      </c>
      <c r="K44" s="4">
        <f>SUM(K43)</f>
        <v>293840.23</v>
      </c>
    </row>
    <row r="45" spans="1:11" ht="20.25" customHeight="1" thickTop="1">
      <c r="A45" s="8"/>
      <c r="B45" s="28" t="s">
        <v>41</v>
      </c>
      <c r="C45" s="30" t="s">
        <v>43</v>
      </c>
      <c r="D45" s="30"/>
      <c r="E45" s="13"/>
      <c r="F45" s="13"/>
      <c r="G45" s="13"/>
      <c r="H45" s="8"/>
      <c r="I45" s="8"/>
      <c r="J45" s="8"/>
      <c r="K45" s="9"/>
    </row>
    <row r="46" spans="1:11" ht="20.25" customHeight="1">
      <c r="A46" s="8"/>
      <c r="B46" s="13"/>
      <c r="C46" s="31">
        <v>4.0999999999999996</v>
      </c>
      <c r="D46" s="13" t="s">
        <v>44</v>
      </c>
      <c r="E46" s="13"/>
      <c r="F46" s="13"/>
      <c r="G46" s="13"/>
      <c r="H46" s="1">
        <v>28448000</v>
      </c>
      <c r="I46" s="1">
        <f>6222281.5+2322000+561600+6000+198000+108800+4309306.5+2322000+561600+194700+1564856+6000+1662</f>
        <v>18378806</v>
      </c>
      <c r="J46" s="5" t="s">
        <v>71</v>
      </c>
      <c r="K46" s="3">
        <f>+H46-I46</f>
        <v>10069194</v>
      </c>
    </row>
    <row r="47" spans="1:11" ht="20.25" customHeight="1" thickBot="1">
      <c r="A47" s="8"/>
      <c r="B47" s="13"/>
      <c r="C47" s="13"/>
      <c r="D47" s="13"/>
      <c r="E47" s="13" t="s">
        <v>19</v>
      </c>
      <c r="F47" s="13"/>
      <c r="G47" s="13"/>
      <c r="H47" s="6">
        <f>SUM(H46)</f>
        <v>28448000</v>
      </c>
      <c r="I47" s="6">
        <f>SUM(I46)</f>
        <v>18378806</v>
      </c>
      <c r="J47" s="7" t="s">
        <v>71</v>
      </c>
      <c r="K47" s="10">
        <f>+H47-I47</f>
        <v>10069194</v>
      </c>
    </row>
    <row r="48" spans="1:11" ht="20.25" customHeight="1" thickTop="1">
      <c r="A48" s="8"/>
      <c r="B48" s="28" t="s">
        <v>45</v>
      </c>
      <c r="C48" s="30" t="s">
        <v>46</v>
      </c>
      <c r="D48" s="30"/>
      <c r="E48" s="13"/>
      <c r="F48" s="13"/>
      <c r="G48" s="13"/>
      <c r="H48" s="8"/>
      <c r="I48" s="8"/>
      <c r="J48" s="8"/>
      <c r="K48" s="9"/>
    </row>
    <row r="49" spans="1:11" ht="20.25" customHeight="1">
      <c r="A49" s="8"/>
      <c r="B49" s="13"/>
      <c r="C49" s="31">
        <v>5.0999999999999996</v>
      </c>
      <c r="D49" s="13" t="s">
        <v>47</v>
      </c>
      <c r="E49" s="13"/>
      <c r="F49" s="13"/>
      <c r="G49" s="13"/>
      <c r="H49" s="1">
        <v>50000</v>
      </c>
      <c r="I49" s="1">
        <v>8000</v>
      </c>
      <c r="J49" s="5" t="s">
        <v>71</v>
      </c>
      <c r="K49" s="3">
        <f>+H49-I49</f>
        <v>42000</v>
      </c>
    </row>
    <row r="50" spans="1:11" ht="20.25" customHeight="1">
      <c r="A50" s="8"/>
      <c r="B50" s="13"/>
      <c r="C50" s="31">
        <v>5.2</v>
      </c>
      <c r="D50" s="13" t="s">
        <v>48</v>
      </c>
      <c r="E50" s="13"/>
      <c r="F50" s="13"/>
      <c r="G50" s="13"/>
      <c r="H50" s="1">
        <v>500</v>
      </c>
      <c r="I50" s="1">
        <f>20+120+120+20+60</f>
        <v>340</v>
      </c>
      <c r="J50" s="5" t="s">
        <v>71</v>
      </c>
      <c r="K50" s="3">
        <f>+H50-I50</f>
        <v>160</v>
      </c>
    </row>
    <row r="51" spans="1:11" ht="20.25" customHeight="1">
      <c r="A51" s="8"/>
      <c r="B51" s="13"/>
      <c r="C51" s="31">
        <v>5.3</v>
      </c>
      <c r="D51" s="13" t="s">
        <v>49</v>
      </c>
      <c r="E51" s="13"/>
      <c r="F51" s="13"/>
      <c r="G51" s="13"/>
      <c r="H51" s="1">
        <v>1000</v>
      </c>
      <c r="I51" s="1">
        <v>0</v>
      </c>
      <c r="J51" s="5" t="s">
        <v>71</v>
      </c>
      <c r="K51" s="3">
        <f>+H51-I51</f>
        <v>1000</v>
      </c>
    </row>
    <row r="52" spans="1:11" ht="20.25" customHeight="1" thickBot="1">
      <c r="A52" s="8"/>
      <c r="B52" s="13"/>
      <c r="C52" s="31"/>
      <c r="D52" s="13"/>
      <c r="E52" s="13" t="s">
        <v>19</v>
      </c>
      <c r="F52" s="13"/>
      <c r="G52" s="13"/>
      <c r="H52" s="6">
        <f>SUM(H49:H51)</f>
        <v>51500</v>
      </c>
      <c r="I52" s="6">
        <f>SUM(I49:I51)</f>
        <v>8340</v>
      </c>
      <c r="J52" s="7" t="s">
        <v>71</v>
      </c>
      <c r="K52" s="10">
        <f>+H52-I52</f>
        <v>43160</v>
      </c>
    </row>
    <row r="53" spans="1:11" ht="20.25" customHeight="1" thickTop="1">
      <c r="A53" s="8"/>
      <c r="B53" s="28" t="s">
        <v>51</v>
      </c>
      <c r="C53" s="30" t="s">
        <v>50</v>
      </c>
      <c r="D53" s="30"/>
      <c r="E53" s="13"/>
      <c r="F53" s="13"/>
      <c r="G53" s="13"/>
      <c r="H53" s="8"/>
      <c r="I53" s="8"/>
      <c r="J53" s="8"/>
      <c r="K53" s="9"/>
    </row>
    <row r="54" spans="1:11" ht="20.25" customHeight="1">
      <c r="A54" s="8"/>
      <c r="B54" s="13"/>
      <c r="C54" s="31">
        <v>6.1</v>
      </c>
      <c r="D54" s="13" t="s">
        <v>52</v>
      </c>
      <c r="E54" s="13"/>
      <c r="F54" s="13"/>
      <c r="G54" s="13"/>
      <c r="H54" s="16">
        <v>1000</v>
      </c>
      <c r="I54" s="1">
        <v>8380</v>
      </c>
      <c r="J54" s="5" t="s">
        <v>72</v>
      </c>
      <c r="K54" s="2">
        <f>+I54-H54</f>
        <v>7380</v>
      </c>
    </row>
    <row r="55" spans="1:11" ht="20.25" customHeight="1" thickBot="1">
      <c r="A55" s="8"/>
      <c r="B55" s="13"/>
      <c r="C55" s="13"/>
      <c r="D55" s="13"/>
      <c r="E55" s="13" t="s">
        <v>19</v>
      </c>
      <c r="F55" s="13"/>
      <c r="G55" s="13"/>
      <c r="H55" s="6">
        <f>SUM(H54)</f>
        <v>1000</v>
      </c>
      <c r="I55" s="6">
        <f>SUM(I54)</f>
        <v>8380</v>
      </c>
      <c r="J55" s="7" t="s">
        <v>72</v>
      </c>
      <c r="K55" s="4">
        <f>+I55-H55</f>
        <v>7380</v>
      </c>
    </row>
    <row r="56" spans="1:11" ht="21.75" thickTop="1" thickBot="1">
      <c r="A56" s="8"/>
      <c r="B56" s="13"/>
      <c r="C56" s="13"/>
      <c r="D56" s="30" t="s">
        <v>53</v>
      </c>
      <c r="E56" s="13"/>
      <c r="F56" s="13"/>
      <c r="G56" s="13"/>
      <c r="H56" s="40">
        <f>+H55+H52+H47+H44+H22++H39</f>
        <v>50000000</v>
      </c>
      <c r="I56" s="41">
        <f>+I22+I39+I44+I47+I52+I55</f>
        <v>29519768.689999998</v>
      </c>
      <c r="J56" s="11" t="s">
        <v>71</v>
      </c>
      <c r="K56" s="12">
        <f>+H56-I56</f>
        <v>20480231.310000002</v>
      </c>
    </row>
    <row r="57" spans="1:11" ht="12" customHeight="1" thickTop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42"/>
    </row>
    <row r="58" spans="1:11">
      <c r="A58" s="51" t="s">
        <v>1</v>
      </c>
      <c r="B58" s="52"/>
      <c r="C58" s="52"/>
      <c r="D58" s="52"/>
      <c r="E58" s="52"/>
      <c r="F58" s="52"/>
      <c r="G58" s="52"/>
      <c r="H58" s="22" t="s">
        <v>74</v>
      </c>
      <c r="I58" s="22" t="s">
        <v>73</v>
      </c>
      <c r="J58" s="53" t="s">
        <v>70</v>
      </c>
      <c r="K58" s="54"/>
    </row>
    <row r="59" spans="1:11" ht="20.25" customHeight="1">
      <c r="A59" s="24" t="s">
        <v>54</v>
      </c>
      <c r="B59" s="19"/>
      <c r="C59" s="19"/>
      <c r="D59" s="19"/>
      <c r="E59" s="19"/>
      <c r="F59" s="19"/>
      <c r="G59" s="19"/>
      <c r="H59" s="8"/>
      <c r="I59" s="8"/>
      <c r="J59" s="14"/>
      <c r="K59" s="15"/>
    </row>
    <row r="60" spans="1:11" ht="20.25" customHeight="1">
      <c r="A60" s="8" t="s">
        <v>55</v>
      </c>
      <c r="B60" s="19" t="s">
        <v>56</v>
      </c>
      <c r="C60" s="19"/>
      <c r="D60" s="19"/>
      <c r="E60" s="19"/>
      <c r="F60" s="19"/>
      <c r="G60" s="19"/>
      <c r="H60" s="8"/>
      <c r="I60" s="1"/>
      <c r="J60" s="8"/>
      <c r="K60" s="9"/>
    </row>
    <row r="61" spans="1:11" ht="20.25" customHeight="1">
      <c r="A61" s="8"/>
      <c r="B61" s="43" t="s">
        <v>21</v>
      </c>
      <c r="C61" s="44" t="s">
        <v>57</v>
      </c>
      <c r="D61" s="45"/>
      <c r="E61" s="19"/>
      <c r="F61" s="19"/>
      <c r="G61" s="19"/>
      <c r="H61" s="8"/>
      <c r="I61" s="1"/>
      <c r="J61" s="8"/>
      <c r="K61" s="9"/>
    </row>
    <row r="62" spans="1:11" ht="20.25" customHeight="1">
      <c r="A62" s="8"/>
      <c r="B62" s="19"/>
      <c r="C62" s="46">
        <v>1.1000000000000001</v>
      </c>
      <c r="D62" s="19" t="s">
        <v>58</v>
      </c>
      <c r="E62" s="19"/>
      <c r="F62" s="47" t="s">
        <v>76</v>
      </c>
      <c r="G62" s="19"/>
      <c r="H62" s="1">
        <f>140000+9800000+2400000+60000+160000+10000+215520</f>
        <v>12785520</v>
      </c>
      <c r="I62" s="1">
        <f>616820-135900+631400-600+131200+791112-498500+623100-1200+132000+494420-211000+618500+134400+274000+615100+132800+432332+608300+137600+355640-51000+604600+137600</f>
        <v>6572724</v>
      </c>
      <c r="J62" s="5" t="s">
        <v>71</v>
      </c>
      <c r="K62" s="3">
        <f t="shared" ref="K62:K63" si="2">+H62-I62</f>
        <v>6212796</v>
      </c>
    </row>
    <row r="63" spans="1:11" ht="20.25" customHeight="1">
      <c r="A63" s="8"/>
      <c r="B63" s="19"/>
      <c r="C63" s="46">
        <v>1.2</v>
      </c>
      <c r="D63" s="19" t="s">
        <v>59</v>
      </c>
      <c r="E63" s="19"/>
      <c r="F63" s="19"/>
      <c r="G63" s="19"/>
      <c r="H63" s="1">
        <v>1000000</v>
      </c>
      <c r="I63" s="1">
        <f>135900+498500+211000+51000</f>
        <v>896400</v>
      </c>
      <c r="J63" s="5" t="s">
        <v>71</v>
      </c>
      <c r="K63" s="3">
        <f t="shared" si="2"/>
        <v>103600</v>
      </c>
    </row>
    <row r="64" spans="1:11" ht="20.25" customHeight="1" thickBot="1">
      <c r="A64" s="8"/>
      <c r="B64" s="19"/>
      <c r="C64" s="19"/>
      <c r="D64" s="19"/>
      <c r="E64" s="19" t="s">
        <v>19</v>
      </c>
      <c r="F64" s="19"/>
      <c r="G64" s="19"/>
      <c r="H64" s="6">
        <f>SUM(H62:H63)</f>
        <v>13785520</v>
      </c>
      <c r="I64" s="6">
        <f>SUM(I62:I63)</f>
        <v>7469124</v>
      </c>
      <c r="J64" s="7" t="s">
        <v>71</v>
      </c>
      <c r="K64" s="10">
        <f t="shared" ref="K64:K69" si="3">+H64-I64</f>
        <v>6316396</v>
      </c>
    </row>
    <row r="65" spans="1:12" ht="20.25" customHeight="1" thickTop="1">
      <c r="A65" s="8"/>
      <c r="B65" s="43" t="s">
        <v>22</v>
      </c>
      <c r="C65" s="44" t="s">
        <v>60</v>
      </c>
      <c r="D65" s="45"/>
      <c r="E65" s="45"/>
      <c r="F65" s="19"/>
      <c r="G65" s="19"/>
      <c r="H65" s="1">
        <f>3953520+2444760+210000+229200+1896840+42000+174840+666960+42000+488040+666960+42000+659640+42000+673200+42000-150000</f>
        <v>12123960</v>
      </c>
      <c r="I65" s="1">
        <f>315060+500030+315060+501399.67+315060+500550+315060+500550+315060+530670+315060+530670</f>
        <v>4954229.67</v>
      </c>
      <c r="J65" s="5" t="s">
        <v>71</v>
      </c>
      <c r="K65" s="3">
        <f t="shared" si="3"/>
        <v>7169730.3300000001</v>
      </c>
      <c r="L65" s="21" t="s">
        <v>75</v>
      </c>
    </row>
    <row r="66" spans="1:12" ht="20.25" customHeight="1">
      <c r="A66" s="8"/>
      <c r="B66" s="43" t="s">
        <v>39</v>
      </c>
      <c r="C66" s="45" t="s">
        <v>61</v>
      </c>
      <c r="D66" s="45"/>
      <c r="E66" s="45"/>
      <c r="F66" s="19"/>
      <c r="G66" s="19"/>
      <c r="H66" s="1">
        <f>1383240+137520+144960+21420+203520+230640+36000+189000+428160+66840+189000</f>
        <v>3030300</v>
      </c>
      <c r="I66" s="1">
        <f>209820+236390+236390+236390+236390+236390</f>
        <v>1391770</v>
      </c>
      <c r="J66" s="5" t="s">
        <v>71</v>
      </c>
      <c r="K66" s="3">
        <f t="shared" si="3"/>
        <v>1638530</v>
      </c>
    </row>
    <row r="67" spans="1:12" ht="20.25" customHeight="1">
      <c r="A67" s="8"/>
      <c r="B67" s="43" t="s">
        <v>41</v>
      </c>
      <c r="C67" s="45" t="s">
        <v>62</v>
      </c>
      <c r="D67" s="45"/>
      <c r="E67" s="45"/>
      <c r="F67" s="48" t="s">
        <v>77</v>
      </c>
      <c r="G67" s="19"/>
      <c r="H67" s="16">
        <f>2957920+200000+3804640+979330+260000+1145650+400000+277730+701850-50000+50000-30000-160000+207000-115000+98000-60000+190000+20000-40000-172000-77000+227000+72000-10000-10000-60000+80000-306500+210500-54000+180000-30000</f>
        <v>10887120</v>
      </c>
      <c r="I67" s="1">
        <f>9250+200570+39596-100+496312+139780+37100+10500+457349+137430+35540+35440+328284.19+168969+6500+693254+757296.52+88650+115558+15896+1145179+565363.84</f>
        <v>5483717.5499999998</v>
      </c>
      <c r="J67" s="5" t="s">
        <v>71</v>
      </c>
      <c r="K67" s="3">
        <f t="shared" si="3"/>
        <v>5403402.4500000002</v>
      </c>
      <c r="L67" s="49"/>
    </row>
    <row r="68" spans="1:12" ht="20.25" customHeight="1">
      <c r="A68" s="8"/>
      <c r="B68" s="43" t="s">
        <v>45</v>
      </c>
      <c r="C68" s="45" t="s">
        <v>63</v>
      </c>
      <c r="D68" s="45"/>
      <c r="E68" s="45"/>
      <c r="F68" s="19"/>
      <c r="G68" s="19"/>
      <c r="H68" s="1">
        <f>500000-10000</f>
        <v>490000</v>
      </c>
      <c r="I68" s="1">
        <f>52345.41+22653.45+10153.89+19381.65+25706.22</f>
        <v>130240.62</v>
      </c>
      <c r="J68" s="5" t="s">
        <v>71</v>
      </c>
      <c r="K68" s="3">
        <f t="shared" si="3"/>
        <v>359759.38</v>
      </c>
    </row>
    <row r="69" spans="1:12" ht="20.25" customHeight="1">
      <c r="A69" s="8"/>
      <c r="B69" s="43" t="s">
        <v>51</v>
      </c>
      <c r="C69" s="45" t="s">
        <v>43</v>
      </c>
      <c r="D69" s="45"/>
      <c r="E69" s="45"/>
      <c r="F69" s="19"/>
      <c r="G69" s="19"/>
      <c r="H69" s="1">
        <f>65000+4000000+195000+300000</f>
        <v>4560000</v>
      </c>
      <c r="I69" s="1">
        <f>973000+1270724.29</f>
        <v>2243724.29</v>
      </c>
      <c r="J69" s="5" t="s">
        <v>71</v>
      </c>
      <c r="K69" s="3">
        <f t="shared" si="3"/>
        <v>2316275.71</v>
      </c>
    </row>
    <row r="70" spans="1:12" ht="20.25" customHeight="1">
      <c r="A70" s="8"/>
      <c r="B70" s="43" t="s">
        <v>64</v>
      </c>
      <c r="C70" s="45" t="s">
        <v>65</v>
      </c>
      <c r="D70" s="45"/>
      <c r="E70" s="45"/>
      <c r="F70" s="19"/>
      <c r="G70" s="19"/>
      <c r="H70" s="1">
        <v>25000</v>
      </c>
      <c r="I70" s="1">
        <v>0</v>
      </c>
      <c r="J70" s="5" t="s">
        <v>71</v>
      </c>
      <c r="K70" s="2">
        <v>25000</v>
      </c>
    </row>
    <row r="71" spans="1:12" ht="20.25" customHeight="1" thickBot="1">
      <c r="A71" s="8"/>
      <c r="B71" s="50"/>
      <c r="C71" s="19"/>
      <c r="D71" s="19"/>
      <c r="E71" s="19" t="s">
        <v>19</v>
      </c>
      <c r="F71" s="19"/>
      <c r="G71" s="19"/>
      <c r="H71" s="6">
        <f>SUM(H65:H70)</f>
        <v>31116380</v>
      </c>
      <c r="I71" s="6">
        <f>SUM(I65:I70)</f>
        <v>14203682.129999999</v>
      </c>
      <c r="J71" s="7" t="s">
        <v>71</v>
      </c>
      <c r="K71" s="4">
        <f>SUM(K65:K70)</f>
        <v>16912697.870000001</v>
      </c>
    </row>
    <row r="72" spans="1:12" ht="20.25" customHeight="1" thickTop="1">
      <c r="A72" s="8" t="s">
        <v>66</v>
      </c>
      <c r="B72" s="19" t="s">
        <v>67</v>
      </c>
      <c r="C72" s="19"/>
      <c r="D72" s="19"/>
      <c r="E72" s="19"/>
      <c r="F72" s="19"/>
      <c r="G72" s="19"/>
      <c r="H72" s="8"/>
      <c r="I72" s="8"/>
      <c r="J72" s="8"/>
      <c r="K72" s="9"/>
    </row>
    <row r="73" spans="1:12" ht="20.25" customHeight="1">
      <c r="A73" s="8"/>
      <c r="B73" s="43" t="s">
        <v>21</v>
      </c>
      <c r="C73" s="45" t="s">
        <v>68</v>
      </c>
      <c r="D73" s="45"/>
      <c r="E73" s="45"/>
      <c r="F73" s="19"/>
      <c r="G73" s="19"/>
      <c r="H73" s="1">
        <f>73900+219000+140000+4621200+44000</f>
        <v>5098100</v>
      </c>
      <c r="I73" s="1">
        <f>389490+320100+844600+1366200+446300</f>
        <v>3366690</v>
      </c>
      <c r="J73" s="5" t="s">
        <v>71</v>
      </c>
      <c r="K73" s="3">
        <f>+H73-I73</f>
        <v>1731410</v>
      </c>
    </row>
    <row r="74" spans="1:12" ht="20.25" customHeight="1" thickBot="1">
      <c r="A74" s="8"/>
      <c r="B74" s="19"/>
      <c r="C74" s="19"/>
      <c r="D74" s="45" t="s">
        <v>69</v>
      </c>
      <c r="E74" s="19"/>
      <c r="F74" s="19"/>
      <c r="G74" s="19"/>
      <c r="H74" s="17">
        <f>+H71+H73+H64</f>
        <v>50000000</v>
      </c>
      <c r="I74" s="17">
        <f>+I64+I71+I73</f>
        <v>25039496.129999999</v>
      </c>
      <c r="J74" s="7" t="s">
        <v>71</v>
      </c>
      <c r="K74" s="18">
        <f>+K64+K71+K73</f>
        <v>24960503.870000001</v>
      </c>
    </row>
    <row r="75" spans="1:12" ht="13.5" customHeight="1" thickTop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</row>
    <row r="76" spans="1:12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</row>
    <row r="77" spans="1:1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</row>
    <row r="78" spans="1:1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</row>
    <row r="79" spans="1:1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</row>
    <row r="80" spans="1:1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</row>
    <row r="81" spans="1:1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</row>
    <row r="82" spans="1:1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</row>
    <row r="83" spans="1:1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</row>
    <row r="84" spans="1:1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</row>
    <row r="85" spans="1:1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</row>
    <row r="86" spans="1:1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</row>
    <row r="87" spans="1:1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</row>
    <row r="88" spans="1:1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</row>
    <row r="89" spans="1:1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</row>
    <row r="90" spans="1:1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</row>
    <row r="91" spans="1:1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</row>
    <row r="92" spans="1:1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</row>
    <row r="93" spans="1:1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</row>
    <row r="94" spans="1:1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</row>
    <row r="95" spans="1:1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</row>
    <row r="96" spans="1:1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</row>
    <row r="97" spans="1:1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</row>
    <row r="98" spans="1:1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</row>
    <row r="99" spans="1:1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</row>
    <row r="100" spans="1:1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1:1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1:1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1:1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1:1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1:1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1:1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1:1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1:1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</row>
    <row r="113" spans="1:1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</row>
    <row r="114" spans="1:1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</row>
  </sheetData>
  <sheetProtection password="CC6F" sheet="1" objects="1" scenarios="1"/>
  <mergeCells count="9">
    <mergeCell ref="A41:G41"/>
    <mergeCell ref="J41:K41"/>
    <mergeCell ref="A58:G58"/>
    <mergeCell ref="J58:K58"/>
    <mergeCell ref="A1:K1"/>
    <mergeCell ref="A2:K2"/>
    <mergeCell ref="A3:K3"/>
    <mergeCell ref="A4:G4"/>
    <mergeCell ref="J4:K4"/>
  </mergeCells>
  <pageMargins left="0.19685039370078741" right="0.11811023622047245" top="0.19685039370078741" bottom="7.874015748031496E-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</dc:creator>
  <cp:lastModifiedBy>Windows User</cp:lastModifiedBy>
  <cp:lastPrinted>2018-10-17T09:23:43Z</cp:lastPrinted>
  <dcterms:created xsi:type="dcterms:W3CDTF">2016-01-07T08:27:31Z</dcterms:created>
  <dcterms:modified xsi:type="dcterms:W3CDTF">2018-11-06T07:16:11Z</dcterms:modified>
</cp:coreProperties>
</file>