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6F" lockStructure="1"/>
  <bookViews>
    <workbookView xWindow="120" yWindow="105" windowWidth="20730" windowHeight="9915" firstSheet="1" activeTab="1"/>
  </bookViews>
  <sheets>
    <sheet name="ไตรมาส 1" sheetId="1" r:id="rId1"/>
    <sheet name="ไตรมาส 4" sheetId="7" r:id="rId2"/>
  </sheets>
  <calcPr calcId="144525"/>
</workbook>
</file>

<file path=xl/calcChain.xml><?xml version="1.0" encoding="utf-8"?>
<calcChain xmlns="http://schemas.openxmlformats.org/spreadsheetml/2006/main">
  <c r="K70" i="7" l="1"/>
  <c r="I66" i="1" l="1"/>
  <c r="I64" i="1"/>
  <c r="I61" i="1"/>
  <c r="I45" i="1"/>
  <c r="K38" i="1"/>
  <c r="K29" i="1"/>
  <c r="K33" i="1"/>
  <c r="H64" i="1" l="1"/>
  <c r="H66" i="1"/>
  <c r="H65" i="1" l="1"/>
  <c r="H68" i="1"/>
  <c r="H72" i="1"/>
  <c r="H61" i="1"/>
  <c r="I73" i="7"/>
  <c r="I69" i="7"/>
  <c r="I68" i="7"/>
  <c r="I65" i="7"/>
  <c r="I66" i="7"/>
  <c r="I62" i="7" l="1"/>
  <c r="I46" i="7"/>
  <c r="I54" i="7"/>
  <c r="I51" i="7"/>
  <c r="I43" i="7"/>
  <c r="I37" i="7"/>
  <c r="K37" i="7" s="1"/>
  <c r="I30" i="7"/>
  <c r="I27" i="7"/>
  <c r="I26" i="7"/>
  <c r="I21" i="7"/>
  <c r="I19" i="7"/>
  <c r="I17" i="7"/>
  <c r="I15" i="7"/>
  <c r="I13" i="7"/>
  <c r="I12" i="7"/>
  <c r="K12" i="7" s="1"/>
  <c r="I11" i="7"/>
  <c r="I10" i="7"/>
  <c r="I9" i="7"/>
  <c r="I8" i="7"/>
  <c r="H67" i="7"/>
  <c r="H65" i="7"/>
  <c r="H69" i="7" l="1"/>
  <c r="I50" i="7" l="1"/>
  <c r="K27" i="7"/>
  <c r="I31" i="7"/>
  <c r="K31" i="7" s="1"/>
  <c r="I28" i="7"/>
  <c r="K28" i="7" s="1"/>
  <c r="K11" i="7"/>
  <c r="K21" i="7"/>
  <c r="I18" i="7"/>
  <c r="H66" i="7"/>
  <c r="H70" i="7"/>
  <c r="A80" i="7"/>
  <c r="H68" i="7"/>
  <c r="H62" i="7"/>
  <c r="I38" i="7" l="1"/>
  <c r="K38" i="7" s="1"/>
  <c r="I33" i="7"/>
  <c r="I29" i="7"/>
  <c r="I24" i="7"/>
  <c r="K9" i="7"/>
  <c r="H73" i="7"/>
  <c r="K73" i="7" s="1"/>
  <c r="K69" i="7"/>
  <c r="K68" i="7"/>
  <c r="K67" i="7"/>
  <c r="I71" i="7"/>
  <c r="K66" i="7"/>
  <c r="H71" i="7"/>
  <c r="I63" i="7"/>
  <c r="I64" i="7" s="1"/>
  <c r="H64" i="7"/>
  <c r="I55" i="7"/>
  <c r="H55" i="7"/>
  <c r="K54" i="7"/>
  <c r="I52" i="7"/>
  <c r="H52" i="7"/>
  <c r="K51" i="7"/>
  <c r="K50" i="7"/>
  <c r="K49" i="7"/>
  <c r="I47" i="7"/>
  <c r="H47" i="7"/>
  <c r="K46" i="7"/>
  <c r="H44" i="7"/>
  <c r="I44" i="7"/>
  <c r="H39" i="7"/>
  <c r="K36" i="7"/>
  <c r="I35" i="7"/>
  <c r="K35" i="7" s="1"/>
  <c r="I34" i="7"/>
  <c r="K34" i="7" s="1"/>
  <c r="K33" i="7"/>
  <c r="K32" i="7"/>
  <c r="K30" i="7"/>
  <c r="K29" i="7"/>
  <c r="K26" i="7"/>
  <c r="K24" i="7"/>
  <c r="H22" i="7"/>
  <c r="K19" i="7"/>
  <c r="K18" i="7"/>
  <c r="K17" i="7"/>
  <c r="K16" i="7"/>
  <c r="K15" i="7"/>
  <c r="K14" i="7"/>
  <c r="K13" i="7"/>
  <c r="K10" i="7"/>
  <c r="K63" i="7" l="1"/>
  <c r="K39" i="7"/>
  <c r="K55" i="7"/>
  <c r="K47" i="7"/>
  <c r="I74" i="7"/>
  <c r="K64" i="7"/>
  <c r="K52" i="7"/>
  <c r="I22" i="7"/>
  <c r="H74" i="7"/>
  <c r="K65" i="7"/>
  <c r="K71" i="7" s="1"/>
  <c r="K62" i="7"/>
  <c r="K43" i="7"/>
  <c r="K44" i="7" s="1"/>
  <c r="I39" i="7"/>
  <c r="K8" i="7"/>
  <c r="K22" i="7" s="1"/>
  <c r="K56" i="7" s="1"/>
  <c r="K74" i="7" l="1"/>
  <c r="K53" i="1" l="1"/>
  <c r="K37" i="1"/>
  <c r="K31" i="1"/>
  <c r="I54" i="1" l="1"/>
  <c r="I43" i="1"/>
  <c r="K20" i="1"/>
  <c r="K10" i="1"/>
  <c r="K9" i="1"/>
  <c r="K8" i="1"/>
  <c r="H56" i="7" l="1"/>
  <c r="I56" i="7" l="1"/>
  <c r="K65" i="1" l="1"/>
  <c r="I70" i="1" l="1"/>
  <c r="K67" i="1"/>
  <c r="K62" i="1"/>
  <c r="I63" i="1"/>
  <c r="K61" i="1" l="1"/>
  <c r="I73" i="1"/>
  <c r="H63" i="1"/>
  <c r="K64" i="1"/>
  <c r="K68" i="1"/>
  <c r="K66" i="1"/>
  <c r="K54" i="1"/>
  <c r="K42" i="1"/>
  <c r="K43" i="1" s="1"/>
  <c r="I51" i="1"/>
  <c r="K50" i="1"/>
  <c r="K49" i="1"/>
  <c r="K48" i="1"/>
  <c r="K45" i="1"/>
  <c r="I46" i="1"/>
  <c r="K36" i="1"/>
  <c r="K35" i="1"/>
  <c r="K34" i="1"/>
  <c r="K32" i="1"/>
  <c r="K30" i="1"/>
  <c r="K28" i="1"/>
  <c r="K27" i="1"/>
  <c r="K25" i="1"/>
  <c r="K23" i="1"/>
  <c r="K11" i="1"/>
  <c r="K18" i="1"/>
  <c r="K17" i="1"/>
  <c r="K16" i="1"/>
  <c r="K15" i="1"/>
  <c r="K14" i="1"/>
  <c r="K13" i="1"/>
  <c r="K12" i="1"/>
  <c r="I38" i="1"/>
  <c r="I21" i="1"/>
  <c r="H38" i="1"/>
  <c r="H54" i="1"/>
  <c r="M54" i="1" s="1"/>
  <c r="H51" i="1"/>
  <c r="H43" i="1"/>
  <c r="M43" i="1" s="1"/>
  <c r="H46" i="1"/>
  <c r="M46" i="1" s="1"/>
  <c r="H21" i="1"/>
  <c r="M38" i="1" l="1"/>
  <c r="I55" i="1"/>
  <c r="K51" i="1"/>
  <c r="H55" i="1"/>
  <c r="K21" i="1"/>
  <c r="M72" i="1"/>
  <c r="K72" i="1"/>
  <c r="K63" i="1"/>
  <c r="M63" i="1"/>
  <c r="K46" i="1"/>
  <c r="M51" i="1"/>
  <c r="K70" i="1"/>
  <c r="M21" i="1"/>
  <c r="H70" i="1"/>
  <c r="K55" i="1" l="1"/>
  <c r="M55" i="1"/>
  <c r="K73" i="1"/>
  <c r="H73" i="1"/>
  <c r="M73" i="1" s="1"/>
  <c r="M70" i="1"/>
</calcChain>
</file>

<file path=xl/sharedStrings.xml><?xml version="1.0" encoding="utf-8"?>
<sst xmlns="http://schemas.openxmlformats.org/spreadsheetml/2006/main" count="330" uniqueCount="96">
  <si>
    <t>องค์การบริหารส่วนตำบลเมืองคง อำเภอคง จังหวัดนครราชสีมา</t>
  </si>
  <si>
    <t>รายการ</t>
  </si>
  <si>
    <t>รายรับ</t>
  </si>
  <si>
    <t>ภาษีโรงเรือนและที่ดิน</t>
  </si>
  <si>
    <t>ภาษีบำรุงท้องที่</t>
  </si>
  <si>
    <t>ภาษีป้าย</t>
  </si>
  <si>
    <t>ภาษีมูลค่าเพิ่มตาม พ.ร.บ. กำหนดแผนฯ</t>
  </si>
  <si>
    <t>ภาษีมูลค่าเพิ่ม 1 ใน 9</t>
  </si>
  <si>
    <t>ภาษีธุรกิจเฉพาะ</t>
  </si>
  <si>
    <t>ภาษีสุรา</t>
  </si>
  <si>
    <t>ภาษีสรรพสามิต</t>
  </si>
  <si>
    <t>ค่าภาคหลวงฯ ป่าไม้</t>
  </si>
  <si>
    <t>ค่าภาคหลวงแร่</t>
  </si>
  <si>
    <t>ค่าภาคหลวงปิโตรเลียม</t>
  </si>
  <si>
    <t>ค่าธรรมเนียมจดทะเบียนสิทธิและนิติกรรมที่ดิน</t>
  </si>
  <si>
    <t>ภาษียาสูบ</t>
  </si>
  <si>
    <t>ภาษีและค่าธรรมเนียมรถยนต์</t>
  </si>
  <si>
    <t>ประมาณการรายรับ</t>
  </si>
  <si>
    <t>รับจริง</t>
  </si>
  <si>
    <t>รวม</t>
  </si>
  <si>
    <t>หมวดภาษีอากร</t>
  </si>
  <si>
    <t>1.</t>
  </si>
  <si>
    <t>2.</t>
  </si>
  <si>
    <t>หมวดค่าธรรมเนียม ค่าปรับ และใบอนุญาต</t>
  </si>
  <si>
    <t>บัญชีรายละเอียดรายรับ-รายจ่ายจริง</t>
  </si>
  <si>
    <t>ค่าธรรมเนียมเกี่ยวกับใบอนุญาตการขายสุรา</t>
  </si>
  <si>
    <t>ค่าธรรมเนียมเกี่ยวกับใบอนุญาตการพนัน</t>
  </si>
  <si>
    <t>ค่าธรรมเนียมเกี่ยวกับการควบคุมอาคาร</t>
  </si>
  <si>
    <t>ค่าธรรมเนียมเก็บขนอุจจาระหรือสิ่งปฏิกูล</t>
  </si>
  <si>
    <t>ค่าธรรมเนียมอื่น ๆ</t>
  </si>
  <si>
    <t>ค่าปรับผู้กระทำผิดกฎหมายจราจรทางบก</t>
  </si>
  <si>
    <t>ค่าปรับการผิดสัญญา</t>
  </si>
  <si>
    <t>ค่าใบอนุญาตประกอบการค้าสำหรับกิจการที่เป็นอันตรายฯ</t>
  </si>
  <si>
    <t>ค่าใบอนุญาตจำหน่ายสินค้าในที่หรือทางสาธารณะ</t>
  </si>
  <si>
    <t>ค่าใบอนุญาตเกี่ยวกับการควบคุมอาคาร</t>
  </si>
  <si>
    <t>ค่าใบอนุญาตอื่น ๆ</t>
  </si>
  <si>
    <t>ค่าธรรมเนียมปิดป้ายประกาศฯ</t>
  </si>
  <si>
    <t>ค่าใบอนุญาตให้ตั้งตลาด (เอกชน)</t>
  </si>
  <si>
    <t xml:space="preserve">ก. </t>
  </si>
  <si>
    <t>3.</t>
  </si>
  <si>
    <t>ค่าดอกเบี้ยเงินฝากธนาคาร</t>
  </si>
  <si>
    <t>4.</t>
  </si>
  <si>
    <t>หมวดรายได้จากทรัพย์สิน</t>
  </si>
  <si>
    <t>หมวดเงินอุดหนุน</t>
  </si>
  <si>
    <t>เงินอุดหนุนทั่วไป</t>
  </si>
  <si>
    <t>5.</t>
  </si>
  <si>
    <t>หมวดรายได้เบ็ดเตล็ด</t>
  </si>
  <si>
    <t>ค่าขายแบบแปลน</t>
  </si>
  <si>
    <t>ค่ารับรองสำเนาและค่าถ่ายเอกสาร</t>
  </si>
  <si>
    <t>รายได้เบ็ดเตล็ดอื่น ๆ</t>
  </si>
  <si>
    <t>หมวดรายได้จากทุน</t>
  </si>
  <si>
    <t>6.</t>
  </si>
  <si>
    <t>ค่าขายทอดตลาดทรัพย์สิน</t>
  </si>
  <si>
    <t>รวมรายรับทั้งสิ้น</t>
  </si>
  <si>
    <t>รายจ่าย</t>
  </si>
  <si>
    <t>ก.</t>
  </si>
  <si>
    <t>รายจ่ายประจำ</t>
  </si>
  <si>
    <t>รายจ่ายงบกลาง</t>
  </si>
  <si>
    <t>รายจ่ายตามข้อผูกพัน</t>
  </si>
  <si>
    <t>เงินสำรองจ่าย</t>
  </si>
  <si>
    <t>หมวดเงินเดือนและค่าจ้างประจำ</t>
  </si>
  <si>
    <t>หมวดค่าจ้างชั่วคราว</t>
  </si>
  <si>
    <t>หมวดค่าตอบแทน ใช้สอยและวัสดุ</t>
  </si>
  <si>
    <t>หมวดค่าสาธารณูปโภค</t>
  </si>
  <si>
    <t>7.</t>
  </si>
  <si>
    <t>หมวดรายจ่ายอื่น</t>
  </si>
  <si>
    <t>ข.</t>
  </si>
  <si>
    <t>รายจ่ายเพื่อการพัฒนา</t>
  </si>
  <si>
    <t>หมวดค่าครุภัณฑ์ ที่ดิน และสิ่งก่อสร้าง</t>
  </si>
  <si>
    <t>รวมรายจ่ายทั้งสิ้น</t>
  </si>
  <si>
    <t>...................................................</t>
  </si>
  <si>
    <t>....ว่าที่ ร.ต..................................................</t>
  </si>
  <si>
    <t>+ สูง/ - ต่ำ</t>
  </si>
  <si>
    <t xml:space="preserve">   (นางประมวลพร พุทธสำราญ)</t>
  </si>
  <si>
    <t xml:space="preserve">       ผู้อำนวยการกองคลัง</t>
  </si>
  <si>
    <r>
      <rPr>
        <sz val="13"/>
        <color theme="0"/>
        <rFont val="TH SarabunPSK"/>
        <family val="2"/>
      </rPr>
      <t>..................</t>
    </r>
    <r>
      <rPr>
        <sz val="13"/>
        <color theme="1"/>
        <rFont val="TH SarabunPSK"/>
        <family val="2"/>
      </rPr>
      <t xml:space="preserve"> (สงกรานต์ ธีระพิทยาตระกูล)</t>
    </r>
  </si>
  <si>
    <r>
      <rPr>
        <sz val="13"/>
        <color theme="0"/>
        <rFont val="TH SarabunPSK"/>
        <family val="2"/>
      </rPr>
      <t>..................</t>
    </r>
    <r>
      <rPr>
        <sz val="13"/>
        <color theme="1"/>
        <rFont val="TH SarabunPSK"/>
        <family val="2"/>
      </rPr>
      <t>.ปลัดองค์การบริหารส่วนตำบล</t>
    </r>
  </si>
  <si>
    <t xml:space="preserve">              ...................................................</t>
  </si>
  <si>
    <r>
      <rPr>
        <sz val="13"/>
        <color theme="0"/>
        <rFont val="TH SarabunPSK"/>
        <family val="2"/>
      </rPr>
      <t>..........................</t>
    </r>
    <r>
      <rPr>
        <sz val="13"/>
        <color theme="1"/>
        <rFont val="TH SarabunPSK"/>
        <family val="2"/>
      </rPr>
      <t>(นายสายัณห์ ม่านกลาง)</t>
    </r>
  </si>
  <si>
    <r>
      <rPr>
        <sz val="13"/>
        <color theme="0"/>
        <rFont val="TH SarabunPSK"/>
        <family val="2"/>
      </rPr>
      <t>......................</t>
    </r>
    <r>
      <rPr>
        <sz val="13"/>
        <color theme="1"/>
        <rFont val="TH SarabunPSK"/>
        <family val="2"/>
      </rPr>
      <t>นายกองค์การบริหารส่วนตำบล</t>
    </r>
  </si>
  <si>
    <t>-</t>
  </si>
  <si>
    <t>+</t>
  </si>
  <si>
    <t>จ่ายจริง</t>
  </si>
  <si>
    <t>ประมาณการรายจ่าย</t>
  </si>
  <si>
    <t>ที่ปรึกษาเพื่อศึกษาวิจัยประเมินผล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</si>
  <si>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</si>
  <si>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**</t>
  </si>
  <si>
    <t>*ดูแยกประเภท</t>
  </si>
  <si>
    <t>*คชส.ดูแยกประเภท</t>
  </si>
  <si>
    <t>ค่าธรรมเนียมเกี่ยวกับทะเบียนพาณิชย์</t>
  </si>
  <si>
    <t>ค่าใบอนุญาตให้จัดตั้งสถานที่สะสมอาหาร</t>
  </si>
  <si>
    <t>ประจำปีงบประมาณ พ.ศ. 2561 (1 ตุลาคม 2560 - 30 กันยายน 2561)</t>
  </si>
  <si>
    <t>ประจำปีงบประมาณ พ.ศ. 2562 (1 ตุลาคม 2561 - 31 ธันวาคม 2561)</t>
  </si>
  <si>
    <t>โอน1/62</t>
  </si>
  <si>
    <t>1.10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</si>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</sst>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3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color theme="0"/>
      <name val="TH SarabunPSK"/>
      <family val="2"/>
    </font>
    <font>
      <sz val="12"/>
      <color theme="1"/>
      <name val="TH SarabunPSK"/>
      <family val="2"/>
    </font>
    <font>
      <sz val="13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0"/>
      <color rgb="FFC0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i/>
      <sz val="10"/>
      <name val="TH SarabunPSK"/>
      <family val="2"/>
    </font>
    <font>
      <i/>
      <sz val="11"/>
      <name val="TH SarabunPSK"/>
      <family val="2"/>
    </font>
    <font>
      <i/>
      <sz val="9"/>
      <name val="TH SarabunPSK"/>
      <family val="2"/>
    </font>
    <font>
      <i/>
      <sz val="12"/>
      <name val="TH SarabunPSK"/>
      <family val="2"/>
    </font>
    <font>
      <sz val="13"/>
      <color rgb="FF0070C0"/>
      <name val="TH SarabunPSK"/>
      <family val="2"/>
    </font>
    <font>
      <sz val="14"/>
      <color rgb="FF0070C0"/>
      <name val="TH SarabunPSK"/>
      <family val="2"/>
    </font>
    <font>
      <i/>
      <sz val="11"/>
      <color theme="1"/>
      <name val="TH SarabunPSK"/>
      <family val="2"/>
    </font>
    <font>
      <sz val="12"/>
      <color theme="0"/>
      <name val="TH SarabunPSK"/>
      <family val="2"/>
    </font>
    <font>
      <i/>
      <sz val="9"/>
      <color theme="0"/>
      <name val="TH SarabunPSK"/>
      <family val="2"/>
    </font>
    <font>
      <i/>
      <sz val="10"/>
      <color theme="0"/>
      <name val="TH SarabunPSK"/>
      <family val="2"/>
    </font>
    <font>
      <sz val="13"/>
      <color rgb="FF00B050"/>
      <name val="TH SarabunPSK"/>
      <family val="2"/>
    </font>
    <font>
      <i/>
      <sz val="11"/>
      <color rgb="FF0070C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87" fontId="4" fillId="0" borderId="0" xfId="0" applyNumberFormat="1" applyFont="1"/>
    <xf numFmtId="0" fontId="4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49" fontId="4" fillId="0" borderId="0" xfId="0" applyNumberFormat="1" applyFont="1" applyBorder="1" applyAlignment="1">
      <alignment horizontal="left"/>
    </xf>
    <xf numFmtId="187" fontId="4" fillId="0" borderId="0" xfId="0" applyNumberFormat="1" applyFont="1" applyBorder="1"/>
    <xf numFmtId="0" fontId="4" fillId="0" borderId="0" xfId="0" applyFont="1" applyBorder="1"/>
    <xf numFmtId="2" fontId="3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0" fontId="5" fillId="0" borderId="10" xfId="0" applyFont="1" applyBorder="1"/>
    <xf numFmtId="43" fontId="3" fillId="0" borderId="5" xfId="1" applyFont="1" applyBorder="1"/>
    <xf numFmtId="43" fontId="3" fillId="0" borderId="4" xfId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7" xfId="0" applyFont="1" applyBorder="1"/>
    <xf numFmtId="0" fontId="3" fillId="0" borderId="12" xfId="0" applyFont="1" applyBorder="1"/>
    <xf numFmtId="43" fontId="3" fillId="0" borderId="7" xfId="1" applyFont="1" applyBorder="1"/>
    <xf numFmtId="0" fontId="3" fillId="0" borderId="4" xfId="0" applyFont="1" applyBorder="1" applyAlignment="1">
      <alignment horizontal="center"/>
    </xf>
    <xf numFmtId="43" fontId="3" fillId="0" borderId="13" xfId="0" applyNumberFormat="1" applyFont="1" applyBorder="1"/>
    <xf numFmtId="43" fontId="4" fillId="0" borderId="15" xfId="1" applyFont="1" applyBorder="1"/>
    <xf numFmtId="43" fontId="4" fillId="0" borderId="16" xfId="1" applyFont="1" applyBorder="1"/>
    <xf numFmtId="0" fontId="4" fillId="0" borderId="15" xfId="0" applyFont="1" applyBorder="1" applyAlignment="1">
      <alignment horizontal="center"/>
    </xf>
    <xf numFmtId="43" fontId="4" fillId="0" borderId="14" xfId="0" applyNumberFormat="1" applyFont="1" applyBorder="1"/>
    <xf numFmtId="43" fontId="4" fillId="0" borderId="4" xfId="1" applyFont="1" applyBorder="1"/>
    <xf numFmtId="43" fontId="4" fillId="0" borderId="13" xfId="0" applyNumberFormat="1" applyFont="1" applyBorder="1"/>
    <xf numFmtId="43" fontId="8" fillId="0" borderId="0" xfId="0" applyNumberFormat="1" applyFont="1"/>
    <xf numFmtId="43" fontId="9" fillId="0" borderId="5" xfId="1" applyFont="1" applyBorder="1"/>
    <xf numFmtId="43" fontId="3" fillId="0" borderId="0" xfId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8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43" fontId="9" fillId="0" borderId="8" xfId="1" applyFont="1" applyBorder="1"/>
    <xf numFmtId="43" fontId="9" fillId="0" borderId="8" xfId="0" applyNumberFormat="1" applyFont="1" applyBorder="1"/>
    <xf numFmtId="0" fontId="10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3" fillId="0" borderId="0" xfId="0" applyNumberFormat="1" applyFont="1" applyBorder="1"/>
    <xf numFmtId="0" fontId="12" fillId="0" borderId="0" xfId="0" applyFont="1"/>
    <xf numFmtId="43" fontId="9" fillId="0" borderId="13" xfId="1" applyFont="1" applyBorder="1"/>
    <xf numFmtId="0" fontId="9" fillId="0" borderId="5" xfId="0" applyFont="1" applyBorder="1" applyAlignment="1">
      <alignment horizontal="center"/>
    </xf>
    <xf numFmtId="43" fontId="9" fillId="0" borderId="4" xfId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43" fontId="9" fillId="0" borderId="13" xfId="0" applyNumberFormat="1" applyFont="1" applyBorder="1"/>
    <xf numFmtId="43" fontId="14" fillId="0" borderId="16" xfId="1" applyFont="1" applyBorder="1"/>
    <xf numFmtId="0" fontId="14" fillId="0" borderId="15" xfId="0" applyFont="1" applyBorder="1" applyAlignment="1">
      <alignment horizontal="center"/>
    </xf>
    <xf numFmtId="43" fontId="14" fillId="0" borderId="14" xfId="0" applyNumberFormat="1" applyFont="1" applyBorder="1"/>
    <xf numFmtId="0" fontId="9" fillId="0" borderId="0" xfId="0" applyFont="1" applyBorder="1"/>
    <xf numFmtId="0" fontId="9" fillId="0" borderId="10" xfId="0" applyFont="1" applyBorder="1"/>
    <xf numFmtId="0" fontId="9" fillId="0" borderId="11" xfId="0" applyFont="1" applyBorder="1"/>
    <xf numFmtId="43" fontId="9" fillId="0" borderId="5" xfId="1" applyFont="1" applyFill="1" applyBorder="1"/>
    <xf numFmtId="43" fontId="14" fillId="0" borderId="4" xfId="1" applyFont="1" applyBorder="1"/>
    <xf numFmtId="43" fontId="14" fillId="0" borderId="13" xfId="0" applyNumberFormat="1" applyFont="1" applyBorder="1"/>
    <xf numFmtId="0" fontId="9" fillId="0" borderId="0" xfId="0" applyFont="1"/>
    <xf numFmtId="0" fontId="15" fillId="0" borderId="0" xfId="0" applyFont="1"/>
    <xf numFmtId="43" fontId="9" fillId="0" borderId="7" xfId="1" applyFont="1" applyBorder="1"/>
    <xf numFmtId="0" fontId="16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/>
    <xf numFmtId="0" fontId="17" fillId="0" borderId="10" xfId="0" applyFont="1" applyBorder="1"/>
    <xf numFmtId="0" fontId="9" fillId="0" borderId="17" xfId="0" applyFont="1" applyBorder="1"/>
    <xf numFmtId="0" fontId="9" fillId="0" borderId="12" xfId="0" applyFont="1" applyBorder="1"/>
    <xf numFmtId="0" fontId="9" fillId="0" borderId="7" xfId="0" applyFont="1" applyBorder="1"/>
    <xf numFmtId="49" fontId="14" fillId="0" borderId="0" xfId="0" applyNumberFormat="1" applyFont="1" applyBorder="1" applyAlignment="1">
      <alignment horizontal="left"/>
    </xf>
    <xf numFmtId="187" fontId="14" fillId="0" borderId="0" xfId="0" applyNumberFormat="1" applyFont="1" applyBorder="1"/>
    <xf numFmtId="0" fontId="14" fillId="0" borderId="0" xfId="0" applyFont="1" applyBorder="1"/>
    <xf numFmtId="0" fontId="9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horizontal="left"/>
    </xf>
    <xf numFmtId="2" fontId="9" fillId="0" borderId="0" xfId="0" applyNumberFormat="1" applyFont="1" applyBorder="1"/>
    <xf numFmtId="43" fontId="9" fillId="0" borderId="6" xfId="1" applyFont="1" applyBorder="1"/>
    <xf numFmtId="2" fontId="14" fillId="0" borderId="0" xfId="0" applyNumberFormat="1" applyFont="1" applyBorder="1"/>
    <xf numFmtId="187" fontId="9" fillId="0" borderId="0" xfId="0" applyNumberFormat="1" applyFont="1" applyBorder="1" applyAlignment="1">
      <alignment horizontal="left"/>
    </xf>
    <xf numFmtId="43" fontId="16" fillId="0" borderId="0" xfId="0" applyNumberFormat="1" applyFont="1"/>
    <xf numFmtId="43" fontId="9" fillId="0" borderId="0" xfId="1" applyFont="1" applyBorder="1"/>
    <xf numFmtId="0" fontId="9" fillId="0" borderId="0" xfId="0" applyFont="1" applyBorder="1" applyAlignment="1">
      <alignment horizontal="center"/>
    </xf>
    <xf numFmtId="0" fontId="13" fillId="0" borderId="0" xfId="0" applyFont="1" applyBorder="1"/>
    <xf numFmtId="43" fontId="9" fillId="0" borderId="0" xfId="0" applyNumberFormat="1" applyFont="1" applyFill="1" applyBorder="1"/>
    <xf numFmtId="0" fontId="16" fillId="0" borderId="0" xfId="0" applyFont="1" applyBorder="1"/>
    <xf numFmtId="43" fontId="9" fillId="0" borderId="0" xfId="0" applyNumberFormat="1" applyFont="1"/>
    <xf numFmtId="49" fontId="14" fillId="0" borderId="0" xfId="0" applyNumberFormat="1" applyFont="1" applyAlignment="1">
      <alignment horizontal="left"/>
    </xf>
    <xf numFmtId="187" fontId="14" fillId="0" borderId="0" xfId="0" applyNumberFormat="1" applyFont="1"/>
    <xf numFmtId="0" fontId="14" fillId="0" borderId="0" xfId="0" applyFont="1"/>
    <xf numFmtId="0" fontId="9" fillId="0" borderId="0" xfId="0" applyFont="1" applyAlignment="1">
      <alignment horizontal="left"/>
    </xf>
    <xf numFmtId="0" fontId="18" fillId="0" borderId="0" xfId="0" applyFont="1"/>
    <xf numFmtId="43" fontId="15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49" fontId="9" fillId="0" borderId="0" xfId="0" applyNumberFormat="1" applyFont="1" applyAlignment="1">
      <alignment horizontal="left"/>
    </xf>
    <xf numFmtId="0" fontId="15" fillId="0" borderId="0" xfId="0" applyFont="1" applyFill="1"/>
    <xf numFmtId="43" fontId="9" fillId="2" borderId="5" xfId="1" applyFont="1" applyFill="1" applyBorder="1"/>
    <xf numFmtId="43" fontId="9" fillId="0" borderId="0" xfId="0" applyNumberFormat="1" applyFont="1" applyFill="1"/>
    <xf numFmtId="43" fontId="9" fillId="0" borderId="5" xfId="0" applyNumberFormat="1" applyFont="1" applyBorder="1"/>
    <xf numFmtId="43" fontId="14" fillId="0" borderId="15" xfId="1" applyFont="1" applyFill="1" applyBorder="1"/>
    <xf numFmtId="0" fontId="9" fillId="0" borderId="5" xfId="0" applyFont="1" applyFill="1" applyBorder="1"/>
    <xf numFmtId="43" fontId="9" fillId="2" borderId="4" xfId="1" applyFont="1" applyFill="1" applyBorder="1"/>
    <xf numFmtId="43" fontId="14" fillId="0" borderId="4" xfId="1" applyFont="1" applyFill="1" applyBorder="1"/>
    <xf numFmtId="0" fontId="24" fillId="0" borderId="0" xfId="0" applyFont="1"/>
    <xf numFmtId="43" fontId="22" fillId="0" borderId="5" xfId="1" applyFont="1" applyBorder="1"/>
    <xf numFmtId="43" fontId="4" fillId="0" borderId="4" xfId="1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43" fontId="28" fillId="0" borderId="5" xfId="1" applyFont="1" applyBorder="1"/>
    <xf numFmtId="43" fontId="28" fillId="0" borderId="4" xfId="1" applyFont="1" applyFill="1" applyBorder="1"/>
    <xf numFmtId="43" fontId="22" fillId="0" borderId="7" xfId="1" applyFont="1" applyBorder="1"/>
    <xf numFmtId="43" fontId="22" fillId="0" borderId="5" xfId="1" applyFont="1" applyFill="1" applyBorder="1"/>
    <xf numFmtId="0" fontId="29" fillId="0" borderId="0" xfId="0" applyFont="1"/>
    <xf numFmtId="49" fontId="9" fillId="0" borderId="0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116"/>
  <sheetViews>
    <sheetView topLeftCell="A9" workbookViewId="0">
      <selection activeCell="I73" sqref="I73"/>
    </sheetView>
  </sheetViews>
  <sheetFormatPr defaultRowHeight="20.25"/>
  <cols>
    <col min="1" max="2" width="3.375" style="68" customWidth="1"/>
    <col min="3" max="3" width="4.125" style="68" customWidth="1"/>
    <col min="4" max="6" width="9" style="68"/>
    <col min="7" max="7" width="7.5" style="68" customWidth="1"/>
    <col min="8" max="9" width="14.625" style="68" customWidth="1"/>
    <col min="10" max="10" width="3.625" style="68" customWidth="1"/>
    <col min="11" max="11" width="14.625" style="68" customWidth="1"/>
    <col min="12" max="12" width="9" style="68"/>
    <col min="13" max="13" width="13.375" style="68" bestFit="1" customWidth="1"/>
    <col min="14" max="16384" width="9" style="68"/>
  </cols>
  <sheetData>
    <row r="1" spans="1:13">
      <c r="A1" s="125" t="s">
        <v>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3">
      <c r="A2" s="125" t="s">
        <v>92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M2" s="101"/>
    </row>
    <row r="3" spans="1:13">
      <c r="A3" s="126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44"/>
    </row>
    <row r="4" spans="1:13">
      <c r="A4" s="121" t="s">
        <v>1</v>
      </c>
      <c r="B4" s="122"/>
      <c r="C4" s="122"/>
      <c r="D4" s="122"/>
      <c r="E4" s="122"/>
      <c r="F4" s="122"/>
      <c r="G4" s="127"/>
      <c r="H4" s="69" t="s">
        <v>17</v>
      </c>
      <c r="I4" s="69" t="s">
        <v>18</v>
      </c>
      <c r="J4" s="123" t="s">
        <v>72</v>
      </c>
      <c r="K4" s="124"/>
      <c r="L4" s="43"/>
    </row>
    <row r="5" spans="1:13">
      <c r="A5" s="71" t="s">
        <v>2</v>
      </c>
      <c r="B5" s="72"/>
      <c r="C5" s="59"/>
      <c r="D5" s="59"/>
      <c r="E5" s="59"/>
      <c r="F5" s="59"/>
      <c r="G5" s="59"/>
      <c r="H5" s="73"/>
      <c r="I5" s="53"/>
      <c r="J5" s="60"/>
      <c r="K5" s="61"/>
      <c r="L5" s="43"/>
    </row>
    <row r="6" spans="1:13">
      <c r="A6" s="53" t="s">
        <v>38</v>
      </c>
      <c r="B6" s="59" t="s">
        <v>2</v>
      </c>
      <c r="C6" s="59"/>
      <c r="D6" s="59"/>
      <c r="E6" s="59"/>
      <c r="F6" s="59"/>
      <c r="G6" s="59"/>
      <c r="H6" s="74"/>
      <c r="I6" s="53"/>
      <c r="J6" s="53"/>
      <c r="K6" s="54"/>
      <c r="L6" s="70"/>
    </row>
    <row r="7" spans="1:13">
      <c r="A7" s="53"/>
      <c r="B7" s="75" t="s">
        <v>21</v>
      </c>
      <c r="C7" s="76" t="s">
        <v>20</v>
      </c>
      <c r="D7" s="77"/>
      <c r="E7" s="59"/>
      <c r="F7" s="59"/>
      <c r="G7" s="59"/>
      <c r="H7" s="74"/>
      <c r="I7" s="53"/>
      <c r="J7" s="53"/>
      <c r="K7" s="54"/>
      <c r="L7" s="70"/>
    </row>
    <row r="8" spans="1:13">
      <c r="A8" s="53"/>
      <c r="B8" s="59"/>
      <c r="C8" s="78">
        <v>1.1000000000000001</v>
      </c>
      <c r="D8" s="59" t="s">
        <v>3</v>
      </c>
      <c r="E8" s="59"/>
      <c r="F8" s="59"/>
      <c r="G8" s="59"/>
      <c r="H8" s="117">
        <v>300000</v>
      </c>
      <c r="I8" s="34">
        <v>0</v>
      </c>
      <c r="J8" s="50" t="s">
        <v>80</v>
      </c>
      <c r="K8" s="41">
        <f>+H8-I8</f>
        <v>300000</v>
      </c>
      <c r="L8" s="70"/>
    </row>
    <row r="9" spans="1:13">
      <c r="A9" s="53"/>
      <c r="B9" s="59"/>
      <c r="C9" s="78">
        <v>1.2</v>
      </c>
      <c r="D9" s="59" t="s">
        <v>4</v>
      </c>
      <c r="E9" s="59"/>
      <c r="F9" s="59"/>
      <c r="G9" s="59"/>
      <c r="H9" s="117">
        <v>90000</v>
      </c>
      <c r="I9" s="34">
        <v>0</v>
      </c>
      <c r="J9" s="50" t="s">
        <v>80</v>
      </c>
      <c r="K9" s="41">
        <f>+H9-I9</f>
        <v>90000</v>
      </c>
      <c r="L9" s="70"/>
    </row>
    <row r="10" spans="1:13">
      <c r="A10" s="53"/>
      <c r="B10" s="59"/>
      <c r="C10" s="78">
        <v>1.3</v>
      </c>
      <c r="D10" s="59" t="s">
        <v>5</v>
      </c>
      <c r="E10" s="59"/>
      <c r="F10" s="59"/>
      <c r="G10" s="59"/>
      <c r="H10" s="117">
        <v>50000</v>
      </c>
      <c r="I10" s="34">
        <v>0</v>
      </c>
      <c r="J10" s="50" t="s">
        <v>80</v>
      </c>
      <c r="K10" s="41">
        <f>+H10-I10</f>
        <v>50000</v>
      </c>
      <c r="L10" s="70"/>
    </row>
    <row r="11" spans="1:13">
      <c r="A11" s="53"/>
      <c r="B11" s="59"/>
      <c r="C11" s="78">
        <v>1.4</v>
      </c>
      <c r="D11" s="59" t="s">
        <v>6</v>
      </c>
      <c r="E11" s="59"/>
      <c r="F11" s="59"/>
      <c r="G11" s="59"/>
      <c r="H11" s="117">
        <v>8500000</v>
      </c>
      <c r="I11" s="102">
        <v>920931.82</v>
      </c>
      <c r="J11" s="50" t="s">
        <v>80</v>
      </c>
      <c r="K11" s="41">
        <f t="shared" ref="K11:K18" si="0">+H11-I11</f>
        <v>7579068.1799999997</v>
      </c>
      <c r="L11" s="70"/>
    </row>
    <row r="12" spans="1:13">
      <c r="A12" s="53"/>
      <c r="B12" s="59"/>
      <c r="C12" s="78">
        <v>1.5</v>
      </c>
      <c r="D12" s="59" t="s">
        <v>7</v>
      </c>
      <c r="E12" s="59"/>
      <c r="F12" s="59"/>
      <c r="G12" s="59"/>
      <c r="H12" s="117">
        <v>4000000</v>
      </c>
      <c r="I12" s="102">
        <v>207803.19</v>
      </c>
      <c r="J12" s="50" t="s">
        <v>80</v>
      </c>
      <c r="K12" s="41">
        <f t="shared" si="0"/>
        <v>3792196.81</v>
      </c>
      <c r="L12" s="70"/>
    </row>
    <row r="13" spans="1:13">
      <c r="A13" s="53"/>
      <c r="B13" s="59"/>
      <c r="C13" s="78">
        <v>1.6</v>
      </c>
      <c r="D13" s="59" t="s">
        <v>8</v>
      </c>
      <c r="E13" s="59"/>
      <c r="F13" s="59"/>
      <c r="G13" s="59"/>
      <c r="H13" s="117">
        <v>220000</v>
      </c>
      <c r="I13" s="102">
        <v>0</v>
      </c>
      <c r="J13" s="50" t="s">
        <v>80</v>
      </c>
      <c r="K13" s="41">
        <f t="shared" si="0"/>
        <v>220000</v>
      </c>
      <c r="L13" s="70"/>
    </row>
    <row r="14" spans="1:13">
      <c r="A14" s="53"/>
      <c r="B14" s="59"/>
      <c r="C14" s="78">
        <v>1.7</v>
      </c>
      <c r="D14" s="59" t="s">
        <v>10</v>
      </c>
      <c r="E14" s="59"/>
      <c r="F14" s="59"/>
      <c r="G14" s="59"/>
      <c r="H14" s="117">
        <v>5800000</v>
      </c>
      <c r="I14" s="102">
        <v>573552.84</v>
      </c>
      <c r="J14" s="50" t="s">
        <v>80</v>
      </c>
      <c r="K14" s="41">
        <f t="shared" si="0"/>
        <v>5226447.16</v>
      </c>
      <c r="L14" s="70"/>
    </row>
    <row r="15" spans="1:13">
      <c r="A15" s="53"/>
      <c r="B15" s="59"/>
      <c r="C15" s="78">
        <v>1.8</v>
      </c>
      <c r="D15" s="59" t="s">
        <v>11</v>
      </c>
      <c r="E15" s="59"/>
      <c r="F15" s="59"/>
      <c r="G15" s="59"/>
      <c r="H15" s="117">
        <v>2000</v>
      </c>
      <c r="I15" s="34">
        <v>0</v>
      </c>
      <c r="J15" s="50" t="s">
        <v>80</v>
      </c>
      <c r="K15" s="41">
        <f t="shared" si="0"/>
        <v>2000</v>
      </c>
      <c r="L15" s="70"/>
    </row>
    <row r="16" spans="1:13">
      <c r="A16" s="53"/>
      <c r="B16" s="59"/>
      <c r="C16" s="78">
        <v>1.9</v>
      </c>
      <c r="D16" s="59" t="s">
        <v>12</v>
      </c>
      <c r="E16" s="59"/>
      <c r="F16" s="59"/>
      <c r="G16" s="59"/>
      <c r="H16" s="117">
        <v>100000</v>
      </c>
      <c r="I16" s="102">
        <v>0</v>
      </c>
      <c r="J16" s="50" t="s">
        <v>80</v>
      </c>
      <c r="K16" s="41">
        <f t="shared" si="0"/>
        <v>100000</v>
      </c>
      <c r="L16" s="70"/>
    </row>
    <row r="17" spans="1:13">
      <c r="A17" s="53"/>
      <c r="B17" s="59"/>
      <c r="C17" s="120" t="s">
        <v>94</v>
      </c>
      <c r="D17" s="59" t="s">
        <v>13</v>
      </c>
      <c r="E17" s="59"/>
      <c r="F17" s="59"/>
      <c r="G17" s="59"/>
      <c r="H17" s="117">
        <v>100000</v>
      </c>
      <c r="I17" s="102">
        <v>17694.330000000002</v>
      </c>
      <c r="J17" s="50" t="s">
        <v>80</v>
      </c>
      <c r="K17" s="41">
        <f t="shared" si="0"/>
        <v>82305.67</v>
      </c>
      <c r="L17" s="70"/>
    </row>
    <row r="18" spans="1:13">
      <c r="A18" s="53"/>
      <c r="B18" s="59"/>
      <c r="C18" s="79">
        <v>1.1100000000000001</v>
      </c>
      <c r="D18" s="59" t="s">
        <v>14</v>
      </c>
      <c r="E18" s="59"/>
      <c r="F18" s="59"/>
      <c r="G18" s="59"/>
      <c r="H18" s="117">
        <v>1200000</v>
      </c>
      <c r="I18" s="102">
        <v>47847</v>
      </c>
      <c r="J18" s="50" t="s">
        <v>80</v>
      </c>
      <c r="K18" s="41">
        <f t="shared" si="0"/>
        <v>1152153</v>
      </c>
      <c r="L18" s="70"/>
    </row>
    <row r="19" spans="1:13">
      <c r="A19" s="53"/>
      <c r="B19" s="59"/>
      <c r="C19" s="79">
        <v>1.1200000000000001</v>
      </c>
      <c r="D19" s="59" t="s">
        <v>15</v>
      </c>
      <c r="E19" s="59"/>
      <c r="F19" s="59"/>
      <c r="G19" s="59"/>
      <c r="H19" s="117">
        <v>0</v>
      </c>
      <c r="I19" s="34">
        <v>0</v>
      </c>
      <c r="J19" s="50"/>
      <c r="K19" s="41">
        <v>0</v>
      </c>
      <c r="L19" s="70"/>
    </row>
    <row r="20" spans="1:13">
      <c r="A20" s="53"/>
      <c r="B20" s="59"/>
      <c r="C20" s="79">
        <v>1.1299999999999999</v>
      </c>
      <c r="D20" s="59" t="s">
        <v>16</v>
      </c>
      <c r="E20" s="59"/>
      <c r="F20" s="59"/>
      <c r="G20" s="59"/>
      <c r="H20" s="117">
        <v>500000</v>
      </c>
      <c r="I20" s="102">
        <v>0</v>
      </c>
      <c r="J20" s="50" t="s">
        <v>80</v>
      </c>
      <c r="K20" s="41">
        <f>+H20-I20</f>
        <v>500000</v>
      </c>
      <c r="L20" s="70"/>
    </row>
    <row r="21" spans="1:13" ht="21" thickBot="1">
      <c r="A21" s="53"/>
      <c r="B21" s="59"/>
      <c r="C21" s="80"/>
      <c r="D21" s="59"/>
      <c r="E21" s="59" t="s">
        <v>19</v>
      </c>
      <c r="F21" s="59"/>
      <c r="G21" s="59"/>
      <c r="H21" s="81">
        <f>SUM(H8:H20)</f>
        <v>20862000</v>
      </c>
      <c r="I21" s="51">
        <f>SUM(I8:I20)</f>
        <v>1767829.1800000002</v>
      </c>
      <c r="J21" s="52" t="s">
        <v>80</v>
      </c>
      <c r="K21" s="49">
        <f>SUM(K8:K20)</f>
        <v>19094170.82</v>
      </c>
      <c r="L21" s="70"/>
      <c r="M21" s="103">
        <f>+H21-I21</f>
        <v>19094170.82</v>
      </c>
    </row>
    <row r="22" spans="1:13" ht="21" thickTop="1">
      <c r="A22" s="53"/>
      <c r="B22" s="75" t="s">
        <v>22</v>
      </c>
      <c r="C22" s="82" t="s">
        <v>23</v>
      </c>
      <c r="D22" s="77"/>
      <c r="E22" s="77"/>
      <c r="F22" s="77"/>
      <c r="G22" s="59"/>
      <c r="H22" s="67"/>
      <c r="I22" s="53"/>
      <c r="J22" s="53"/>
      <c r="K22" s="54"/>
      <c r="L22" s="70"/>
    </row>
    <row r="23" spans="1:13" ht="20.25" customHeight="1">
      <c r="A23" s="53"/>
      <c r="B23" s="59"/>
      <c r="C23" s="83">
        <v>2.1</v>
      </c>
      <c r="D23" s="59" t="s">
        <v>25</v>
      </c>
      <c r="E23" s="59"/>
      <c r="F23" s="59"/>
      <c r="G23" s="59"/>
      <c r="H23" s="117">
        <v>1600</v>
      </c>
      <c r="I23" s="34">
        <v>0</v>
      </c>
      <c r="J23" s="50" t="s">
        <v>80</v>
      </c>
      <c r="K23" s="41">
        <f>+H23-I23</f>
        <v>1600</v>
      </c>
      <c r="L23" s="70"/>
    </row>
    <row r="24" spans="1:13" ht="20.25" customHeight="1">
      <c r="A24" s="53"/>
      <c r="B24" s="59"/>
      <c r="C24" s="83">
        <v>2.2000000000000002</v>
      </c>
      <c r="D24" s="59" t="s">
        <v>26</v>
      </c>
      <c r="E24" s="59"/>
      <c r="F24" s="59"/>
      <c r="G24" s="59"/>
      <c r="H24" s="117">
        <v>0</v>
      </c>
      <c r="I24" s="34">
        <v>0</v>
      </c>
      <c r="J24" s="50"/>
      <c r="K24" s="41">
        <v>0</v>
      </c>
      <c r="L24" s="70"/>
    </row>
    <row r="25" spans="1:13" ht="20.25" customHeight="1">
      <c r="A25" s="53"/>
      <c r="B25" s="59"/>
      <c r="C25" s="83">
        <v>2.2999999999999998</v>
      </c>
      <c r="D25" s="59" t="s">
        <v>27</v>
      </c>
      <c r="E25" s="59"/>
      <c r="F25" s="59"/>
      <c r="G25" s="59"/>
      <c r="H25" s="117">
        <v>3000</v>
      </c>
      <c r="I25" s="102">
        <v>338.25</v>
      </c>
      <c r="J25" s="50" t="s">
        <v>80</v>
      </c>
      <c r="K25" s="41">
        <f t="shared" ref="K25:K36" si="1">+H25-I25</f>
        <v>2661.75</v>
      </c>
      <c r="L25" s="70"/>
    </row>
    <row r="26" spans="1:13" ht="20.25" customHeight="1">
      <c r="A26" s="53"/>
      <c r="B26" s="59"/>
      <c r="C26" s="83">
        <v>2.4</v>
      </c>
      <c r="D26" s="59" t="s">
        <v>28</v>
      </c>
      <c r="E26" s="59"/>
      <c r="F26" s="59"/>
      <c r="G26" s="59"/>
      <c r="H26" s="117">
        <v>3000</v>
      </c>
      <c r="I26" s="102"/>
      <c r="J26" s="50"/>
      <c r="K26" s="41"/>
      <c r="L26" s="70"/>
    </row>
    <row r="27" spans="1:13" ht="20.25" customHeight="1">
      <c r="A27" s="53"/>
      <c r="B27" s="59"/>
      <c r="C27" s="83">
        <v>2.5</v>
      </c>
      <c r="D27" s="59" t="s">
        <v>36</v>
      </c>
      <c r="E27" s="59"/>
      <c r="F27" s="59"/>
      <c r="G27" s="59"/>
      <c r="H27" s="117">
        <v>200</v>
      </c>
      <c r="I27" s="102">
        <v>40</v>
      </c>
      <c r="J27" s="50" t="s">
        <v>80</v>
      </c>
      <c r="K27" s="41">
        <f t="shared" si="1"/>
        <v>160</v>
      </c>
      <c r="L27" s="70"/>
    </row>
    <row r="28" spans="1:13" ht="20.25" customHeight="1">
      <c r="A28" s="53"/>
      <c r="B28" s="59"/>
      <c r="C28" s="83">
        <v>2.6</v>
      </c>
      <c r="D28" s="59" t="s">
        <v>89</v>
      </c>
      <c r="E28" s="59"/>
      <c r="F28" s="59"/>
      <c r="G28" s="59"/>
      <c r="H28" s="117">
        <v>1000</v>
      </c>
      <c r="I28" s="102">
        <v>0</v>
      </c>
      <c r="J28" s="50" t="s">
        <v>80</v>
      </c>
      <c r="K28" s="41">
        <f t="shared" si="1"/>
        <v>1000</v>
      </c>
      <c r="L28" s="70"/>
    </row>
    <row r="29" spans="1:13" ht="20.25" customHeight="1">
      <c r="A29" s="53"/>
      <c r="B29" s="59"/>
      <c r="C29" s="83">
        <v>2.7</v>
      </c>
      <c r="D29" s="59" t="s">
        <v>29</v>
      </c>
      <c r="E29" s="59"/>
      <c r="F29" s="59"/>
      <c r="G29" s="59"/>
      <c r="H29" s="117">
        <v>1000</v>
      </c>
      <c r="I29" s="102">
        <v>0</v>
      </c>
      <c r="J29" s="50" t="s">
        <v>80</v>
      </c>
      <c r="K29" s="41">
        <f>+H29</f>
        <v>1000</v>
      </c>
      <c r="L29" s="70"/>
    </row>
    <row r="30" spans="1:13" ht="20.25" customHeight="1">
      <c r="A30" s="53"/>
      <c r="B30" s="59"/>
      <c r="C30" s="83">
        <v>2.8</v>
      </c>
      <c r="D30" s="59" t="s">
        <v>30</v>
      </c>
      <c r="E30" s="59"/>
      <c r="F30" s="59"/>
      <c r="G30" s="59"/>
      <c r="H30" s="117">
        <v>2000</v>
      </c>
      <c r="I30" s="102">
        <v>800</v>
      </c>
      <c r="J30" s="50" t="s">
        <v>80</v>
      </c>
      <c r="K30" s="41">
        <f t="shared" si="1"/>
        <v>1200</v>
      </c>
      <c r="L30" s="70"/>
    </row>
    <row r="31" spans="1:13" ht="20.25" customHeight="1">
      <c r="A31" s="53"/>
      <c r="B31" s="59"/>
      <c r="C31" s="83">
        <v>2.9</v>
      </c>
      <c r="D31" s="59" t="s">
        <v>31</v>
      </c>
      <c r="E31" s="59"/>
      <c r="F31" s="59"/>
      <c r="G31" s="59"/>
      <c r="H31" s="117">
        <v>100000</v>
      </c>
      <c r="I31" s="102">
        <v>0</v>
      </c>
      <c r="J31" s="50" t="s">
        <v>80</v>
      </c>
      <c r="K31" s="41">
        <f>+H31-I31</f>
        <v>100000</v>
      </c>
      <c r="L31" s="70"/>
    </row>
    <row r="32" spans="1:13" ht="20.25" customHeight="1">
      <c r="A32" s="53"/>
      <c r="B32" s="59"/>
      <c r="C32" s="79">
        <v>2.1</v>
      </c>
      <c r="D32" s="59" t="s">
        <v>32</v>
      </c>
      <c r="E32" s="59"/>
      <c r="F32" s="59"/>
      <c r="G32" s="59"/>
      <c r="H32" s="117">
        <v>30000</v>
      </c>
      <c r="I32" s="34">
        <v>0</v>
      </c>
      <c r="J32" s="50" t="s">
        <v>80</v>
      </c>
      <c r="K32" s="41">
        <f t="shared" si="1"/>
        <v>30000</v>
      </c>
      <c r="L32" s="70"/>
    </row>
    <row r="33" spans="1:13" ht="20.25" customHeight="1">
      <c r="A33" s="53"/>
      <c r="B33" s="59"/>
      <c r="C33" s="79">
        <v>2.11</v>
      </c>
      <c r="D33" s="59" t="s">
        <v>90</v>
      </c>
      <c r="E33" s="59"/>
      <c r="F33" s="59"/>
      <c r="G33" s="59"/>
      <c r="H33" s="117">
        <v>2000</v>
      </c>
      <c r="I33" s="102">
        <v>0</v>
      </c>
      <c r="J33" s="50" t="s">
        <v>80</v>
      </c>
      <c r="K33" s="41">
        <f>+H33</f>
        <v>2000</v>
      </c>
      <c r="L33" s="70"/>
    </row>
    <row r="34" spans="1:13" ht="20.25" customHeight="1">
      <c r="A34" s="53"/>
      <c r="B34" s="59"/>
      <c r="C34" s="79">
        <v>2.12</v>
      </c>
      <c r="D34" s="59" t="s">
        <v>33</v>
      </c>
      <c r="E34" s="59"/>
      <c r="F34" s="59"/>
      <c r="G34" s="59"/>
      <c r="H34" s="117">
        <v>2400</v>
      </c>
      <c r="I34" s="34">
        <v>0</v>
      </c>
      <c r="J34" s="50" t="s">
        <v>80</v>
      </c>
      <c r="K34" s="41">
        <f t="shared" si="1"/>
        <v>2400</v>
      </c>
      <c r="L34" s="70"/>
    </row>
    <row r="35" spans="1:13" ht="20.25" customHeight="1">
      <c r="A35" s="53"/>
      <c r="B35" s="59"/>
      <c r="C35" s="79">
        <v>2.13</v>
      </c>
      <c r="D35" s="59" t="s">
        <v>37</v>
      </c>
      <c r="E35" s="59"/>
      <c r="F35" s="59"/>
      <c r="G35" s="59"/>
      <c r="H35" s="117">
        <v>2000</v>
      </c>
      <c r="I35" s="34">
        <v>0</v>
      </c>
      <c r="J35" s="50" t="s">
        <v>80</v>
      </c>
      <c r="K35" s="41">
        <f t="shared" si="1"/>
        <v>2000</v>
      </c>
      <c r="L35" s="70"/>
    </row>
    <row r="36" spans="1:13" ht="20.25" customHeight="1">
      <c r="A36" s="53"/>
      <c r="B36" s="59"/>
      <c r="C36" s="79">
        <v>2.14</v>
      </c>
      <c r="D36" s="59" t="s">
        <v>34</v>
      </c>
      <c r="E36" s="59"/>
      <c r="F36" s="59"/>
      <c r="G36" s="59"/>
      <c r="H36" s="117">
        <v>1500</v>
      </c>
      <c r="I36" s="102">
        <v>100</v>
      </c>
      <c r="J36" s="50" t="s">
        <v>80</v>
      </c>
      <c r="K36" s="41">
        <f t="shared" si="1"/>
        <v>1400</v>
      </c>
      <c r="L36" s="70"/>
      <c r="M36" s="84"/>
    </row>
    <row r="37" spans="1:13" ht="20.25" customHeight="1">
      <c r="A37" s="53"/>
      <c r="B37" s="59"/>
      <c r="C37" s="79">
        <v>2.15</v>
      </c>
      <c r="D37" s="59" t="s">
        <v>35</v>
      </c>
      <c r="E37" s="59"/>
      <c r="F37" s="59"/>
      <c r="G37" s="59"/>
      <c r="H37" s="117">
        <v>800</v>
      </c>
      <c r="I37" s="102">
        <v>0</v>
      </c>
      <c r="J37" s="50" t="s">
        <v>80</v>
      </c>
      <c r="K37" s="41">
        <f>+H37-I37</f>
        <v>800</v>
      </c>
      <c r="L37" s="70"/>
    </row>
    <row r="38" spans="1:13" ht="21" thickBot="1">
      <c r="A38" s="53"/>
      <c r="B38" s="59"/>
      <c r="C38" s="79"/>
      <c r="D38" s="59"/>
      <c r="E38" s="59" t="s">
        <v>19</v>
      </c>
      <c r="F38" s="59"/>
      <c r="G38" s="59"/>
      <c r="H38" s="81">
        <f>SUM(H23:H37)</f>
        <v>150500</v>
      </c>
      <c r="I38" s="51">
        <f>SUM(I23:I37)</f>
        <v>1278.25</v>
      </c>
      <c r="J38" s="52" t="s">
        <v>80</v>
      </c>
      <c r="K38" s="49">
        <f>SUM(K23:K37)</f>
        <v>146221.75</v>
      </c>
      <c r="L38" s="70"/>
      <c r="M38" s="103">
        <f>+H38-I38</f>
        <v>149221.75</v>
      </c>
    </row>
    <row r="39" spans="1:13" s="89" customFormat="1" ht="13.5" customHeight="1" thickTop="1">
      <c r="A39" s="59"/>
      <c r="B39" s="59"/>
      <c r="C39" s="79"/>
      <c r="D39" s="59"/>
      <c r="E39" s="59"/>
      <c r="F39" s="59"/>
      <c r="G39" s="59"/>
      <c r="H39" s="85"/>
      <c r="I39" s="85"/>
      <c r="J39" s="86"/>
      <c r="K39" s="85"/>
      <c r="L39" s="87"/>
      <c r="M39" s="88"/>
    </row>
    <row r="40" spans="1:13">
      <c r="A40" s="121" t="s">
        <v>1</v>
      </c>
      <c r="B40" s="122"/>
      <c r="C40" s="122"/>
      <c r="D40" s="122"/>
      <c r="E40" s="122"/>
      <c r="F40" s="122"/>
      <c r="G40" s="122"/>
      <c r="H40" s="69" t="s">
        <v>17</v>
      </c>
      <c r="I40" s="69" t="s">
        <v>18</v>
      </c>
      <c r="J40" s="123" t="s">
        <v>72</v>
      </c>
      <c r="K40" s="124"/>
      <c r="L40" s="70"/>
    </row>
    <row r="41" spans="1:13">
      <c r="A41" s="53"/>
      <c r="B41" s="75" t="s">
        <v>39</v>
      </c>
      <c r="C41" s="77" t="s">
        <v>42</v>
      </c>
      <c r="D41" s="77"/>
      <c r="E41" s="59"/>
      <c r="F41" s="59"/>
      <c r="G41" s="59"/>
      <c r="H41" s="53"/>
      <c r="I41" s="53"/>
      <c r="J41" s="60"/>
      <c r="K41" s="61"/>
      <c r="L41" s="70"/>
    </row>
    <row r="42" spans="1:13">
      <c r="A42" s="53"/>
      <c r="B42" s="59"/>
      <c r="C42" s="78">
        <v>3.1</v>
      </c>
      <c r="D42" s="59" t="s">
        <v>40</v>
      </c>
      <c r="E42" s="59"/>
      <c r="F42" s="59"/>
      <c r="G42" s="59"/>
      <c r="H42" s="110">
        <v>300000</v>
      </c>
      <c r="I42" s="34">
        <v>0</v>
      </c>
      <c r="J42" s="50" t="s">
        <v>80</v>
      </c>
      <c r="K42" s="41">
        <f>+H42-I42</f>
        <v>300000</v>
      </c>
      <c r="L42" s="70"/>
    </row>
    <row r="43" spans="1:13" ht="21" thickBot="1">
      <c r="A43" s="53"/>
      <c r="B43" s="59"/>
      <c r="C43" s="59"/>
      <c r="D43" s="59"/>
      <c r="E43" s="59" t="s">
        <v>19</v>
      </c>
      <c r="F43" s="59"/>
      <c r="G43" s="59"/>
      <c r="H43" s="51">
        <f>SUM(H42)</f>
        <v>300000</v>
      </c>
      <c r="I43" s="51">
        <f>SUM(I42)</f>
        <v>0</v>
      </c>
      <c r="J43" s="52" t="s">
        <v>80</v>
      </c>
      <c r="K43" s="49">
        <f>SUM(K42)</f>
        <v>300000</v>
      </c>
      <c r="L43" s="70"/>
      <c r="M43" s="103">
        <f>+H43-I43</f>
        <v>300000</v>
      </c>
    </row>
    <row r="44" spans="1:13" ht="21" thickTop="1">
      <c r="A44" s="53"/>
      <c r="B44" s="75" t="s">
        <v>41</v>
      </c>
      <c r="C44" s="77" t="s">
        <v>43</v>
      </c>
      <c r="D44" s="77"/>
      <c r="E44" s="59"/>
      <c r="F44" s="59"/>
      <c r="G44" s="59"/>
      <c r="H44" s="53"/>
      <c r="I44" s="104"/>
      <c r="J44" s="53"/>
      <c r="K44" s="54"/>
      <c r="L44" s="70"/>
    </row>
    <row r="45" spans="1:13">
      <c r="A45" s="53"/>
      <c r="B45" s="59"/>
      <c r="C45" s="78">
        <v>4.0999999999999996</v>
      </c>
      <c r="D45" s="59" t="s">
        <v>44</v>
      </c>
      <c r="E45" s="59"/>
      <c r="F45" s="59"/>
      <c r="G45" s="59"/>
      <c r="H45" s="110">
        <v>28635000</v>
      </c>
      <c r="I45" s="102">
        <f>6290122+2645400+710400+7500+205500+112200</f>
        <v>9971122</v>
      </c>
      <c r="J45" s="50" t="s">
        <v>80</v>
      </c>
      <c r="K45" s="42">
        <f>+H45-I45</f>
        <v>18663878</v>
      </c>
      <c r="L45" s="70"/>
    </row>
    <row r="46" spans="1:13" ht="21" thickBot="1">
      <c r="A46" s="53"/>
      <c r="B46" s="59"/>
      <c r="C46" s="59"/>
      <c r="D46" s="59"/>
      <c r="E46" s="59" t="s">
        <v>19</v>
      </c>
      <c r="F46" s="59"/>
      <c r="G46" s="59"/>
      <c r="H46" s="51">
        <f>SUM(H45)</f>
        <v>28635000</v>
      </c>
      <c r="I46" s="51">
        <f>SUM(I45)</f>
        <v>9971122</v>
      </c>
      <c r="J46" s="52" t="s">
        <v>80</v>
      </c>
      <c r="K46" s="55">
        <f>+H46-I46</f>
        <v>18663878</v>
      </c>
      <c r="L46" s="70"/>
      <c r="M46" s="103">
        <f>+H46-I46</f>
        <v>18663878</v>
      </c>
    </row>
    <row r="47" spans="1:13" ht="21" thickTop="1">
      <c r="A47" s="53"/>
      <c r="B47" s="75" t="s">
        <v>45</v>
      </c>
      <c r="C47" s="77" t="s">
        <v>46</v>
      </c>
      <c r="D47" s="77"/>
      <c r="E47" s="59"/>
      <c r="F47" s="59"/>
      <c r="G47" s="59"/>
      <c r="H47" s="53"/>
      <c r="I47" s="53"/>
      <c r="J47" s="53"/>
      <c r="K47" s="54"/>
      <c r="L47" s="70"/>
    </row>
    <row r="48" spans="1:13">
      <c r="A48" s="53"/>
      <c r="B48" s="59"/>
      <c r="C48" s="78">
        <v>5.0999999999999996</v>
      </c>
      <c r="D48" s="59" t="s">
        <v>47</v>
      </c>
      <c r="E48" s="59"/>
      <c r="F48" s="59"/>
      <c r="G48" s="59"/>
      <c r="H48" s="110">
        <v>50000</v>
      </c>
      <c r="I48" s="102">
        <v>0</v>
      </c>
      <c r="J48" s="50" t="s">
        <v>80</v>
      </c>
      <c r="K48" s="42">
        <f>+H48-I48</f>
        <v>50000</v>
      </c>
      <c r="L48" s="70"/>
    </row>
    <row r="49" spans="1:14">
      <c r="A49" s="53"/>
      <c r="B49" s="59"/>
      <c r="C49" s="78">
        <v>5.2</v>
      </c>
      <c r="D49" s="59" t="s">
        <v>48</v>
      </c>
      <c r="E49" s="59"/>
      <c r="F49" s="59"/>
      <c r="G49" s="59"/>
      <c r="H49" s="110">
        <v>500</v>
      </c>
      <c r="I49" s="102">
        <v>40</v>
      </c>
      <c r="J49" s="50" t="s">
        <v>80</v>
      </c>
      <c r="K49" s="42">
        <f>+H49-I49</f>
        <v>460</v>
      </c>
      <c r="L49" s="70"/>
    </row>
    <row r="50" spans="1:14">
      <c r="A50" s="53"/>
      <c r="B50" s="59"/>
      <c r="C50" s="78">
        <v>5.3</v>
      </c>
      <c r="D50" s="59" t="s">
        <v>49</v>
      </c>
      <c r="E50" s="59"/>
      <c r="F50" s="59"/>
      <c r="G50" s="59"/>
      <c r="H50" s="110">
        <v>1000</v>
      </c>
      <c r="I50" s="34">
        <v>100</v>
      </c>
      <c r="J50" s="50" t="s">
        <v>80</v>
      </c>
      <c r="K50" s="42">
        <f>+H50-I50</f>
        <v>900</v>
      </c>
      <c r="L50" s="70"/>
    </row>
    <row r="51" spans="1:14" ht="21" thickBot="1">
      <c r="A51" s="53"/>
      <c r="B51" s="59"/>
      <c r="C51" s="78"/>
      <c r="D51" s="59"/>
      <c r="E51" s="59" t="s">
        <v>19</v>
      </c>
      <c r="F51" s="59"/>
      <c r="G51" s="59"/>
      <c r="H51" s="51">
        <f>SUM(H48:H50)</f>
        <v>51500</v>
      </c>
      <c r="I51" s="51">
        <f>SUM(I48:I50)</f>
        <v>140</v>
      </c>
      <c r="J51" s="52" t="s">
        <v>80</v>
      </c>
      <c r="K51" s="55">
        <f>+H51-I51</f>
        <v>51360</v>
      </c>
      <c r="L51" s="70"/>
      <c r="M51" s="103">
        <f>+H51-I51</f>
        <v>51360</v>
      </c>
    </row>
    <row r="52" spans="1:14" ht="21" thickTop="1">
      <c r="A52" s="53"/>
      <c r="B52" s="75" t="s">
        <v>51</v>
      </c>
      <c r="C52" s="77" t="s">
        <v>50</v>
      </c>
      <c r="D52" s="77"/>
      <c r="E52" s="59"/>
      <c r="F52" s="59"/>
      <c r="G52" s="59"/>
      <c r="H52" s="53"/>
      <c r="I52" s="53"/>
      <c r="J52" s="53"/>
      <c r="K52" s="54"/>
      <c r="L52" s="70"/>
    </row>
    <row r="53" spans="1:14">
      <c r="A53" s="53"/>
      <c r="B53" s="59"/>
      <c r="C53" s="78">
        <v>6.1</v>
      </c>
      <c r="D53" s="59" t="s">
        <v>52</v>
      </c>
      <c r="E53" s="59"/>
      <c r="F53" s="59"/>
      <c r="G53" s="59"/>
      <c r="H53" s="118">
        <v>1000</v>
      </c>
      <c r="I53" s="102">
        <v>0</v>
      </c>
      <c r="J53" s="50" t="s">
        <v>81</v>
      </c>
      <c r="K53" s="41">
        <f>+I53-H53</f>
        <v>-1000</v>
      </c>
      <c r="L53" s="70"/>
    </row>
    <row r="54" spans="1:14" ht="21" thickBot="1">
      <c r="A54" s="53"/>
      <c r="B54" s="59"/>
      <c r="C54" s="59"/>
      <c r="D54" s="59"/>
      <c r="E54" s="59" t="s">
        <v>19</v>
      </c>
      <c r="F54" s="59"/>
      <c r="G54" s="59"/>
      <c r="H54" s="51">
        <f>SUM(H53)</f>
        <v>1000</v>
      </c>
      <c r="I54" s="51">
        <f>SUM(I53)</f>
        <v>0</v>
      </c>
      <c r="J54" s="52" t="s">
        <v>81</v>
      </c>
      <c r="K54" s="49">
        <f>+K53</f>
        <v>-1000</v>
      </c>
      <c r="L54" s="70"/>
      <c r="M54" s="103">
        <f>+I54-H54</f>
        <v>-1000</v>
      </c>
    </row>
    <row r="55" spans="1:14" ht="21.75" thickTop="1" thickBot="1">
      <c r="A55" s="53"/>
      <c r="B55" s="59"/>
      <c r="C55" s="59"/>
      <c r="D55" s="77" t="s">
        <v>53</v>
      </c>
      <c r="E55" s="59"/>
      <c r="F55" s="59"/>
      <c r="G55" s="59"/>
      <c r="H55" s="105">
        <f>+H54+H51+H46+H43+H21++H38</f>
        <v>50000000</v>
      </c>
      <c r="I55" s="56">
        <f>+I21+I38+I43+I46+I51+I54</f>
        <v>11740369.43</v>
      </c>
      <c r="J55" s="57" t="s">
        <v>80</v>
      </c>
      <c r="K55" s="58">
        <f>+K21+K38+K43+K46+K51-K54</f>
        <v>38256630.57</v>
      </c>
      <c r="L55" s="70"/>
      <c r="M55" s="90">
        <f>+H55-I55</f>
        <v>38259630.57</v>
      </c>
    </row>
    <row r="56" spans="1:14" ht="12" customHeight="1" thickTop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90"/>
      <c r="L56" s="70"/>
    </row>
    <row r="57" spans="1:14">
      <c r="A57" s="121" t="s">
        <v>1</v>
      </c>
      <c r="B57" s="122"/>
      <c r="C57" s="122"/>
      <c r="D57" s="122"/>
      <c r="E57" s="122"/>
      <c r="F57" s="122"/>
      <c r="G57" s="122"/>
      <c r="H57" s="69" t="s">
        <v>83</v>
      </c>
      <c r="I57" s="69" t="s">
        <v>82</v>
      </c>
      <c r="J57" s="123" t="s">
        <v>72</v>
      </c>
      <c r="K57" s="124"/>
      <c r="L57" s="70"/>
    </row>
    <row r="58" spans="1:14">
      <c r="A58" s="71" t="s">
        <v>54</v>
      </c>
      <c r="B58" s="65"/>
      <c r="C58" s="65"/>
      <c r="D58" s="65"/>
      <c r="E58" s="65"/>
      <c r="F58" s="65"/>
      <c r="G58" s="65"/>
      <c r="H58" s="53"/>
      <c r="I58" s="53"/>
      <c r="J58" s="60"/>
      <c r="K58" s="61"/>
      <c r="L58" s="70"/>
    </row>
    <row r="59" spans="1:14">
      <c r="A59" s="53" t="s">
        <v>55</v>
      </c>
      <c r="B59" s="65" t="s">
        <v>56</v>
      </c>
      <c r="C59" s="65"/>
      <c r="D59" s="65"/>
      <c r="E59" s="65"/>
      <c r="F59" s="65"/>
      <c r="G59" s="65"/>
      <c r="H59" s="53"/>
      <c r="I59" s="34"/>
      <c r="J59" s="53"/>
      <c r="K59" s="54"/>
      <c r="L59" s="70"/>
    </row>
    <row r="60" spans="1:14">
      <c r="A60" s="53"/>
      <c r="B60" s="91" t="s">
        <v>21</v>
      </c>
      <c r="C60" s="92" t="s">
        <v>57</v>
      </c>
      <c r="D60" s="93"/>
      <c r="E60" s="65"/>
      <c r="F60" s="65"/>
      <c r="G60" s="65"/>
      <c r="H60" s="53"/>
      <c r="I60" s="34"/>
      <c r="J60" s="53"/>
      <c r="K60" s="54"/>
      <c r="L60" s="70"/>
    </row>
    <row r="61" spans="1:14">
      <c r="A61" s="106" t="s">
        <v>86</v>
      </c>
      <c r="B61" s="65"/>
      <c r="C61" s="94">
        <v>1.1000000000000001</v>
      </c>
      <c r="D61" s="65" t="s">
        <v>58</v>
      </c>
      <c r="E61" s="65"/>
      <c r="F61" s="95" t="s">
        <v>87</v>
      </c>
      <c r="G61" s="65"/>
      <c r="H61" s="110">
        <f>154000+10473600+3528800+60000+160000+10000+213650</f>
        <v>14600050</v>
      </c>
      <c r="I61" s="34">
        <f>554758+617500-1300+144800</f>
        <v>1315758</v>
      </c>
      <c r="J61" s="50" t="s">
        <v>80</v>
      </c>
      <c r="K61" s="42">
        <f t="shared" ref="K61:K68" si="2">+H61-I61</f>
        <v>13284292</v>
      </c>
      <c r="L61" s="70"/>
    </row>
    <row r="62" spans="1:14">
      <c r="A62" s="53"/>
      <c r="B62" s="65"/>
      <c r="C62" s="94">
        <v>1.2</v>
      </c>
      <c r="D62" s="65" t="s">
        <v>59</v>
      </c>
      <c r="E62" s="65"/>
      <c r="F62" s="65"/>
      <c r="G62" s="65"/>
      <c r="H62" s="110">
        <v>400000</v>
      </c>
      <c r="I62" s="34">
        <v>0</v>
      </c>
      <c r="J62" s="50" t="s">
        <v>80</v>
      </c>
      <c r="K62" s="42">
        <f t="shared" si="2"/>
        <v>400000</v>
      </c>
      <c r="L62" s="65"/>
    </row>
    <row r="63" spans="1:14" ht="21" thickBot="1">
      <c r="A63" s="53"/>
      <c r="B63" s="65"/>
      <c r="C63" s="65"/>
      <c r="D63" s="65"/>
      <c r="E63" s="65" t="s">
        <v>19</v>
      </c>
      <c r="F63" s="65"/>
      <c r="G63" s="65"/>
      <c r="H63" s="51">
        <f>SUM(H61:H62)</f>
        <v>15000050</v>
      </c>
      <c r="I63" s="107">
        <f>SUM(I61:I62)</f>
        <v>1315758</v>
      </c>
      <c r="J63" s="52" t="s">
        <v>80</v>
      </c>
      <c r="K63" s="55">
        <f t="shared" si="2"/>
        <v>13684292</v>
      </c>
      <c r="L63" s="70"/>
      <c r="M63" s="96">
        <f>+H63-I63</f>
        <v>13684292</v>
      </c>
    </row>
    <row r="64" spans="1:14" ht="21" thickTop="1">
      <c r="A64" s="53"/>
      <c r="B64" s="91" t="s">
        <v>22</v>
      </c>
      <c r="C64" s="92" t="s">
        <v>60</v>
      </c>
      <c r="D64" s="93"/>
      <c r="E64" s="93"/>
      <c r="F64" s="65"/>
      <c r="G64" s="65"/>
      <c r="H64" s="110">
        <f>3953520+4653900-1558740+2082540-167700+910320-332760+806400-272280+775200-197640+1205400-503460+894720-310800+42000</f>
        <v>11980620</v>
      </c>
      <c r="I64" s="102">
        <f>315060+580120</f>
        <v>895180</v>
      </c>
      <c r="J64" s="50" t="s">
        <v>80</v>
      </c>
      <c r="K64" s="42">
        <f t="shared" si="2"/>
        <v>11085440</v>
      </c>
      <c r="L64" s="119" t="s">
        <v>93</v>
      </c>
      <c r="N64" s="68" t="s">
        <v>85</v>
      </c>
    </row>
    <row r="65" spans="1:13">
      <c r="A65" s="53"/>
      <c r="B65" s="91" t="s">
        <v>39</v>
      </c>
      <c r="C65" s="93" t="s">
        <v>61</v>
      </c>
      <c r="D65" s="93"/>
      <c r="E65" s="93"/>
      <c r="F65" s="65"/>
      <c r="G65" s="65"/>
      <c r="H65" s="110">
        <f>1558740+167700+332760+272280+197640+503460+310800</f>
        <v>3343380</v>
      </c>
      <c r="I65" s="102">
        <v>250470</v>
      </c>
      <c r="J65" s="50" t="s">
        <v>80</v>
      </c>
      <c r="K65" s="42">
        <f t="shared" si="2"/>
        <v>3092910</v>
      </c>
      <c r="L65" s="70"/>
    </row>
    <row r="66" spans="1:13">
      <c r="A66" s="53" t="s">
        <v>86</v>
      </c>
      <c r="B66" s="91" t="s">
        <v>41</v>
      </c>
      <c r="C66" s="93" t="s">
        <v>62</v>
      </c>
      <c r="D66" s="93"/>
      <c r="E66" s="93"/>
      <c r="F66" s="98" t="s">
        <v>88</v>
      </c>
      <c r="G66" s="65"/>
      <c r="H66" s="118">
        <f>762270+1264950+585000+50400+130000+205770+1166780+2480900+79860+405000+51620+40000+138520+430000+145000+80000+190000+165390+90000+77690+230000+40000-22000-20000</f>
        <v>8767150</v>
      </c>
      <c r="I66" s="102">
        <f>10500+322980</f>
        <v>333480</v>
      </c>
      <c r="J66" s="50" t="s">
        <v>80</v>
      </c>
      <c r="K66" s="42">
        <f t="shared" si="2"/>
        <v>8433670</v>
      </c>
      <c r="L66" s="119" t="s">
        <v>93</v>
      </c>
    </row>
    <row r="67" spans="1:13">
      <c r="A67" s="53"/>
      <c r="B67" s="91" t="s">
        <v>45</v>
      </c>
      <c r="C67" s="93" t="s">
        <v>63</v>
      </c>
      <c r="D67" s="93"/>
      <c r="E67" s="93"/>
      <c r="F67" s="65"/>
      <c r="G67" s="65"/>
      <c r="H67" s="110">
        <v>390000</v>
      </c>
      <c r="I67" s="102">
        <v>1413.26</v>
      </c>
      <c r="J67" s="50" t="s">
        <v>80</v>
      </c>
      <c r="K67" s="42">
        <f t="shared" si="2"/>
        <v>388586.74</v>
      </c>
      <c r="L67" s="70"/>
    </row>
    <row r="68" spans="1:13">
      <c r="A68" s="53"/>
      <c r="B68" s="91" t="s">
        <v>51</v>
      </c>
      <c r="C68" s="93" t="s">
        <v>43</v>
      </c>
      <c r="D68" s="93"/>
      <c r="E68" s="93"/>
      <c r="F68" s="65"/>
      <c r="G68" s="65"/>
      <c r="H68" s="110">
        <f>65000+4100000+400000+600000</f>
        <v>5165000</v>
      </c>
      <c r="I68" s="102">
        <v>986000</v>
      </c>
      <c r="J68" s="50" t="s">
        <v>80</v>
      </c>
      <c r="K68" s="42">
        <f t="shared" si="2"/>
        <v>4179000</v>
      </c>
      <c r="L68" s="70"/>
    </row>
    <row r="69" spans="1:13">
      <c r="A69" s="53"/>
      <c r="B69" s="91" t="s">
        <v>64</v>
      </c>
      <c r="C69" s="93" t="s">
        <v>65</v>
      </c>
      <c r="D69" s="93"/>
      <c r="E69" s="93"/>
      <c r="F69" s="65"/>
      <c r="G69" s="65"/>
      <c r="H69" s="110">
        <v>25000</v>
      </c>
      <c r="I69" s="34">
        <v>0</v>
      </c>
      <c r="J69" s="50" t="s">
        <v>80</v>
      </c>
      <c r="K69" s="41">
        <v>25000</v>
      </c>
      <c r="L69" s="99" t="s">
        <v>84</v>
      </c>
    </row>
    <row r="70" spans="1:13" ht="21" thickBot="1">
      <c r="A70" s="53"/>
      <c r="B70" s="100"/>
      <c r="C70" s="65"/>
      <c r="D70" s="65"/>
      <c r="E70" s="65" t="s">
        <v>19</v>
      </c>
      <c r="F70" s="65"/>
      <c r="G70" s="65"/>
      <c r="H70" s="51">
        <f>SUM(H64:H69)</f>
        <v>29671150</v>
      </c>
      <c r="I70" s="51">
        <f>SUM(I64:I69)</f>
        <v>2466543.2599999998</v>
      </c>
      <c r="J70" s="52" t="s">
        <v>80</v>
      </c>
      <c r="K70" s="49">
        <f>SUM(K64:K69)</f>
        <v>27204606.739999998</v>
      </c>
      <c r="L70" s="70"/>
      <c r="M70" s="96">
        <f>+H70-I70</f>
        <v>27204606.740000002</v>
      </c>
    </row>
    <row r="71" spans="1:13" ht="21" thickTop="1">
      <c r="A71" s="53" t="s">
        <v>66</v>
      </c>
      <c r="B71" s="65" t="s">
        <v>67</v>
      </c>
      <c r="C71" s="65"/>
      <c r="D71" s="65"/>
      <c r="E71" s="65"/>
      <c r="F71" s="65"/>
      <c r="G71" s="65"/>
      <c r="H71" s="53"/>
      <c r="I71" s="53"/>
      <c r="J71" s="53"/>
      <c r="K71" s="54"/>
      <c r="L71" s="70"/>
    </row>
    <row r="72" spans="1:13">
      <c r="A72" s="53"/>
      <c r="B72" s="91" t="s">
        <v>21</v>
      </c>
      <c r="C72" s="93" t="s">
        <v>68</v>
      </c>
      <c r="D72" s="93"/>
      <c r="E72" s="93"/>
      <c r="F72" s="65"/>
      <c r="G72" s="65"/>
      <c r="H72" s="110">
        <f>198800+10000+110000+10000+5000000</f>
        <v>5328800</v>
      </c>
      <c r="I72" s="102">
        <v>5000</v>
      </c>
      <c r="J72" s="50" t="s">
        <v>80</v>
      </c>
      <c r="K72" s="42">
        <f>+H72-I72</f>
        <v>5323800</v>
      </c>
      <c r="L72" s="70"/>
      <c r="M72" s="96">
        <f>+H72-I72</f>
        <v>5323800</v>
      </c>
    </row>
    <row r="73" spans="1:13" ht="21" thickBot="1">
      <c r="A73" s="53"/>
      <c r="B73" s="65"/>
      <c r="C73" s="65"/>
      <c r="D73" s="93" t="s">
        <v>69</v>
      </c>
      <c r="E73" s="65"/>
      <c r="F73" s="65"/>
      <c r="G73" s="65"/>
      <c r="H73" s="108">
        <f>+H70+H72+H63</f>
        <v>50000000</v>
      </c>
      <c r="I73" s="63">
        <f>+I63+I70+I72</f>
        <v>3787301.26</v>
      </c>
      <c r="J73" s="52" t="s">
        <v>80</v>
      </c>
      <c r="K73" s="64">
        <f>+K63+K70+K72</f>
        <v>46212698.739999995</v>
      </c>
      <c r="L73" s="70"/>
      <c r="M73" s="96">
        <f>+H73-I73</f>
        <v>46212698.740000002</v>
      </c>
    </row>
    <row r="74" spans="1:13" ht="13.5" customHeight="1" thickTop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70"/>
    </row>
    <row r="75" spans="1:13">
      <c r="A75" s="65"/>
      <c r="B75" s="3" t="s">
        <v>70</v>
      </c>
      <c r="C75" s="3"/>
      <c r="D75" s="3"/>
      <c r="E75" s="3"/>
      <c r="F75" s="3" t="s">
        <v>71</v>
      </c>
      <c r="G75" s="3"/>
      <c r="H75" s="3"/>
      <c r="I75" s="3" t="s">
        <v>77</v>
      </c>
      <c r="J75" s="3"/>
      <c r="K75" s="3"/>
      <c r="L75" s="70"/>
    </row>
    <row r="76" spans="1:13">
      <c r="A76" s="65"/>
      <c r="B76" s="3" t="s">
        <v>73</v>
      </c>
      <c r="C76" s="3"/>
      <c r="D76" s="3"/>
      <c r="E76" s="3"/>
      <c r="F76" s="3" t="s">
        <v>75</v>
      </c>
      <c r="G76" s="3"/>
      <c r="H76" s="3"/>
      <c r="I76" s="3" t="s">
        <v>78</v>
      </c>
      <c r="J76" s="3"/>
      <c r="K76" s="3"/>
      <c r="L76" s="70"/>
    </row>
    <row r="77" spans="1:13">
      <c r="A77" s="65"/>
      <c r="B77" s="3" t="s">
        <v>74</v>
      </c>
      <c r="C77" s="3"/>
      <c r="D77" s="3"/>
      <c r="E77" s="3"/>
      <c r="F77" s="3" t="s">
        <v>76</v>
      </c>
      <c r="G77" s="3"/>
      <c r="H77" s="3"/>
      <c r="I77" s="3" t="s">
        <v>79</v>
      </c>
      <c r="J77" s="3"/>
      <c r="K77" s="3"/>
      <c r="L77" s="70"/>
    </row>
    <row r="78" spans="1:13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</row>
    <row r="79" spans="1:13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</row>
    <row r="80" spans="1:13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1" spans="1:1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</row>
    <row r="82" spans="1:1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</row>
    <row r="83" spans="1:1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</row>
    <row r="84" spans="1:1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</row>
    <row r="85" spans="1:1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</row>
    <row r="86" spans="1:1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</row>
    <row r="87" spans="1:1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</row>
    <row r="88" spans="1:1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</row>
    <row r="89" spans="1:1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</row>
    <row r="90" spans="1:1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</row>
    <row r="91" spans="1:1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</row>
    <row r="92" spans="1:1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</row>
    <row r="93" spans="1:1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</row>
    <row r="94" spans="1:1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</row>
    <row r="95" spans="1:1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</row>
    <row r="96" spans="1:1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</row>
    <row r="97" spans="1:1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</row>
    <row r="98" spans="1:1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</row>
    <row r="99" spans="1:1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</row>
    <row r="100" spans="1:1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</row>
    <row r="101" spans="1:1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</row>
    <row r="102" spans="1:1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</row>
    <row r="103" spans="1:1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</row>
    <row r="104" spans="1:1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</row>
    <row r="105" spans="1:1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</row>
    <row r="106" spans="1:1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</row>
    <row r="107" spans="1:1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</row>
    <row r="108" spans="1:1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</row>
    <row r="109" spans="1:1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</row>
    <row r="110" spans="1:1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</row>
    <row r="111" spans="1:1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</row>
    <row r="112" spans="1:1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</row>
    <row r="113" spans="1:1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</row>
    <row r="114" spans="1:1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</row>
    <row r="115" spans="1:1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</row>
    <row r="116" spans="1:1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</row>
  </sheetData>
  <mergeCells count="9">
    <mergeCell ref="A57:G57"/>
    <mergeCell ref="J4:K4"/>
    <mergeCell ref="J57:K57"/>
    <mergeCell ref="J40:K40"/>
    <mergeCell ref="A1:K1"/>
    <mergeCell ref="A2:K2"/>
    <mergeCell ref="A3:K3"/>
    <mergeCell ref="A4:G4"/>
    <mergeCell ref="A40:G40"/>
  </mergeCells>
  <pageMargins left="0.19685039370078741" right="0.11811023622047245" top="0.19685039370078741" bottom="7.874015748031496E-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58" workbookViewId="0">
      <selection activeCell="K71" sqref="K71"/>
    </sheetView>
  </sheetViews>
  <sheetFormatPr defaultRowHeight="20.25"/>
  <cols>
    <col min="1" max="2" width="3.375" style="1" customWidth="1"/>
    <col min="3" max="3" width="8" style="1" customWidth="1"/>
    <col min="4" max="6" width="9" style="1"/>
    <col min="7" max="7" width="22.875" style="1" customWidth="1"/>
    <col min="8" max="8" width="20.375" style="1" bestFit="1" customWidth="1"/>
    <col min="9" max="9" width="42.75" style="1" bestFit="1" customWidth="1"/>
    <col min="10" max="10" width="3.625" style="1" customWidth="1"/>
    <col min="11" max="11" width="14.625" style="1" customWidth="1"/>
    <col min="12" max="16384" width="9" style="1"/>
  </cols>
  <sheetData>
    <row r="1" spans="1:12">
      <c r="A1" s="132" t="s">
        <v>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>
      <c r="A2" s="133" t="s">
        <v>91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66"/>
    </row>
    <row r="4" spans="1:12">
      <c r="A4" s="128" t="s">
        <v>1</v>
      </c>
      <c r="B4" s="129"/>
      <c r="C4" s="129"/>
      <c r="D4" s="129"/>
      <c r="E4" s="129"/>
      <c r="F4" s="129"/>
      <c r="G4" s="134"/>
      <c r="H4" s="45" t="s">
        <v>17</v>
      </c>
      <c r="I4" s="45" t="s">
        <v>18</v>
      </c>
      <c r="J4" s="130" t="s">
        <v>72</v>
      </c>
      <c r="K4" s="131"/>
      <c r="L4" s="2"/>
    </row>
    <row r="5" spans="1:12" ht="20.25" customHeight="1">
      <c r="A5" s="17" t="s">
        <v>2</v>
      </c>
      <c r="B5" s="22"/>
      <c r="C5" s="10"/>
      <c r="D5" s="10"/>
      <c r="E5" s="10"/>
      <c r="F5" s="10"/>
      <c r="G5" s="10"/>
      <c r="H5" s="23"/>
      <c r="I5" s="8"/>
      <c r="J5" s="20"/>
      <c r="K5" s="21"/>
      <c r="L5" s="2"/>
    </row>
    <row r="6" spans="1:12" ht="20.25" customHeight="1">
      <c r="A6" s="8" t="s">
        <v>38</v>
      </c>
      <c r="B6" s="10" t="s">
        <v>2</v>
      </c>
      <c r="C6" s="10"/>
      <c r="D6" s="10"/>
      <c r="E6" s="10"/>
      <c r="F6" s="10"/>
      <c r="G6" s="10"/>
      <c r="H6" s="9"/>
      <c r="I6" s="8"/>
      <c r="J6" s="8"/>
      <c r="K6" s="11"/>
      <c r="L6" s="2"/>
    </row>
    <row r="7" spans="1:12" ht="20.25" customHeight="1">
      <c r="A7" s="8"/>
      <c r="B7" s="12" t="s">
        <v>21</v>
      </c>
      <c r="C7" s="13" t="s">
        <v>20</v>
      </c>
      <c r="D7" s="14"/>
      <c r="E7" s="10"/>
      <c r="F7" s="10"/>
      <c r="G7" s="10"/>
      <c r="H7" s="9"/>
      <c r="I7" s="8"/>
      <c r="J7" s="8"/>
      <c r="K7" s="11"/>
      <c r="L7" s="2"/>
    </row>
    <row r="8" spans="1:12" ht="20.25" customHeight="1">
      <c r="A8" s="8"/>
      <c r="B8" s="10"/>
      <c r="C8" s="78">
        <v>1.1000000000000001</v>
      </c>
      <c r="D8" s="59" t="s">
        <v>3</v>
      </c>
      <c r="E8" s="59"/>
      <c r="F8" s="59"/>
      <c r="G8" s="59"/>
      <c r="H8" s="67">
        <v>280000</v>
      </c>
      <c r="I8" s="110">
        <f>59467.75+79043+207321.67+19977.75+23943.5+10891.25+1238.5+7206.5+5583</f>
        <v>414672.92000000004</v>
      </c>
      <c r="J8" s="50" t="s">
        <v>81</v>
      </c>
      <c r="K8" s="41">
        <f>+I8-H8</f>
        <v>134672.92000000004</v>
      </c>
      <c r="L8" s="2"/>
    </row>
    <row r="9" spans="1:12" ht="20.25" customHeight="1">
      <c r="A9" s="8"/>
      <c r="B9" s="10"/>
      <c r="C9" s="78">
        <v>1.2</v>
      </c>
      <c r="D9" s="59" t="s">
        <v>4</v>
      </c>
      <c r="E9" s="59"/>
      <c r="F9" s="59"/>
      <c r="G9" s="59"/>
      <c r="H9" s="67">
        <v>90000</v>
      </c>
      <c r="I9" s="110">
        <f>2647.6+5947.5+10366.71+37017.8+4682.21+2744.21+1527.78+1498.04+3725.41</f>
        <v>70157.259999999995</v>
      </c>
      <c r="J9" s="50" t="s">
        <v>80</v>
      </c>
      <c r="K9" s="41">
        <f>+H9-I9</f>
        <v>19842.740000000005</v>
      </c>
      <c r="L9" s="2"/>
    </row>
    <row r="10" spans="1:12" ht="20.25" customHeight="1">
      <c r="A10" s="8"/>
      <c r="B10" s="10"/>
      <c r="C10" s="78">
        <v>1.3</v>
      </c>
      <c r="D10" s="59" t="s">
        <v>5</v>
      </c>
      <c r="E10" s="59"/>
      <c r="F10" s="59"/>
      <c r="G10" s="59"/>
      <c r="H10" s="67">
        <v>40000</v>
      </c>
      <c r="I10" s="110">
        <f>3720+28295.75+16688+4983.75+604+696+708+3800+1317.75</f>
        <v>60813.25</v>
      </c>
      <c r="J10" s="50" t="s">
        <v>81</v>
      </c>
      <c r="K10" s="41">
        <f>+I10-H10</f>
        <v>20813.25</v>
      </c>
      <c r="L10" s="2"/>
    </row>
    <row r="11" spans="1:12" ht="20.25" customHeight="1">
      <c r="A11" s="8"/>
      <c r="B11" s="10"/>
      <c r="C11" s="78">
        <v>1.4</v>
      </c>
      <c r="D11" s="59" t="s">
        <v>6</v>
      </c>
      <c r="E11" s="59"/>
      <c r="F11" s="59"/>
      <c r="G11" s="59"/>
      <c r="H11" s="67">
        <v>8500000</v>
      </c>
      <c r="I11" s="110">
        <f>653591.8+1631579.73+855693.73+767375.23+734003.5+942855.16+1612711.54+925293.61+850935.13+894600.92</f>
        <v>9868640.3500000015</v>
      </c>
      <c r="J11" s="50" t="s">
        <v>81</v>
      </c>
      <c r="K11" s="41">
        <f>+I11-H11</f>
        <v>1368640.3500000015</v>
      </c>
      <c r="L11" s="2"/>
    </row>
    <row r="12" spans="1:12" ht="20.25" customHeight="1">
      <c r="A12" s="8"/>
      <c r="B12" s="10"/>
      <c r="C12" s="78">
        <v>1.5</v>
      </c>
      <c r="D12" s="59" t="s">
        <v>7</v>
      </c>
      <c r="E12" s="59"/>
      <c r="F12" s="59"/>
      <c r="G12" s="59"/>
      <c r="H12" s="67">
        <v>4000000</v>
      </c>
      <c r="I12" s="110">
        <f>523528.07+381512.34+266940.68+384441.1+259756.5+379339.08+431717.01+306283.23+274555.93+230227.76+578835.22</f>
        <v>4017136.92</v>
      </c>
      <c r="J12" s="50" t="s">
        <v>81</v>
      </c>
      <c r="K12" s="41">
        <f>+I12-H12</f>
        <v>17136.919999999925</v>
      </c>
      <c r="L12" s="2"/>
    </row>
    <row r="13" spans="1:12" ht="20.25" customHeight="1">
      <c r="A13" s="8"/>
      <c r="B13" s="10"/>
      <c r="C13" s="78">
        <v>1.6</v>
      </c>
      <c r="D13" s="59" t="s">
        <v>8</v>
      </c>
      <c r="E13" s="59"/>
      <c r="F13" s="59"/>
      <c r="G13" s="59"/>
      <c r="H13" s="67">
        <v>250000</v>
      </c>
      <c r="I13" s="110">
        <f>17279.93+30373.56+27435.19+13485.25+15740.08+21789.83+15383.62+16108.98+16787.86+19189.66</f>
        <v>193573.96000000005</v>
      </c>
      <c r="J13" s="50" t="s">
        <v>80</v>
      </c>
      <c r="K13" s="41">
        <f t="shared" ref="K13:K19" si="0">+H13-I13</f>
        <v>56426.03999999995</v>
      </c>
      <c r="L13" s="2"/>
    </row>
    <row r="14" spans="1:12" ht="20.25" customHeight="1">
      <c r="A14" s="8"/>
      <c r="B14" s="10"/>
      <c r="C14" s="78">
        <v>1.7</v>
      </c>
      <c r="D14" s="59" t="s">
        <v>9</v>
      </c>
      <c r="E14" s="59"/>
      <c r="F14" s="59"/>
      <c r="G14" s="59"/>
      <c r="H14" s="67">
        <v>2000000</v>
      </c>
      <c r="I14" s="34">
        <v>0</v>
      </c>
      <c r="J14" s="50" t="s">
        <v>80</v>
      </c>
      <c r="K14" s="41">
        <f t="shared" si="0"/>
        <v>2000000</v>
      </c>
      <c r="L14" s="2"/>
    </row>
    <row r="15" spans="1:12" ht="20.25" customHeight="1">
      <c r="A15" s="8"/>
      <c r="B15" s="10"/>
      <c r="C15" s="78">
        <v>1.8</v>
      </c>
      <c r="D15" s="59" t="s">
        <v>10</v>
      </c>
      <c r="E15" s="59"/>
      <c r="F15" s="59"/>
      <c r="G15" s="59"/>
      <c r="H15" s="67">
        <v>3800000</v>
      </c>
      <c r="I15" s="110">
        <f>979912.71+425887.85+589776.33+605690.55+611513.55+602335.7+631379.67+615635.93+566366.09+594436.93+603155.42</f>
        <v>6826090.7299999995</v>
      </c>
      <c r="J15" s="50" t="s">
        <v>81</v>
      </c>
      <c r="K15" s="41">
        <f>+I15-H15</f>
        <v>3026090.7299999995</v>
      </c>
      <c r="L15" s="2"/>
    </row>
    <row r="16" spans="1:12" ht="20.25" customHeight="1">
      <c r="A16" s="8"/>
      <c r="B16" s="10"/>
      <c r="C16" s="78">
        <v>1.9</v>
      </c>
      <c r="D16" s="59" t="s">
        <v>11</v>
      </c>
      <c r="E16" s="59"/>
      <c r="F16" s="59"/>
      <c r="G16" s="59"/>
      <c r="H16" s="67">
        <v>2000</v>
      </c>
      <c r="I16" s="34">
        <v>0</v>
      </c>
      <c r="J16" s="50" t="s">
        <v>80</v>
      </c>
      <c r="K16" s="41">
        <f t="shared" si="0"/>
        <v>2000</v>
      </c>
      <c r="L16" s="2"/>
    </row>
    <row r="17" spans="1:12" ht="20.25" customHeight="1">
      <c r="A17" s="8"/>
      <c r="B17" s="10"/>
      <c r="C17" s="79">
        <v>1.1000000000000001</v>
      </c>
      <c r="D17" s="59" t="s">
        <v>12</v>
      </c>
      <c r="E17" s="59"/>
      <c r="F17" s="59"/>
      <c r="G17" s="59"/>
      <c r="H17" s="67">
        <v>100000</v>
      </c>
      <c r="I17" s="110">
        <f>25940.97+24255.12+24590.81+23644.52</f>
        <v>98431.42</v>
      </c>
      <c r="J17" s="50" t="s">
        <v>80</v>
      </c>
      <c r="K17" s="41">
        <f t="shared" si="0"/>
        <v>1568.5800000000017</v>
      </c>
      <c r="L17" s="2"/>
    </row>
    <row r="18" spans="1:12" ht="20.25" customHeight="1">
      <c r="A18" s="8"/>
      <c r="B18" s="10"/>
      <c r="C18" s="79">
        <v>1.1100000000000001</v>
      </c>
      <c r="D18" s="59" t="s">
        <v>13</v>
      </c>
      <c r="E18" s="59"/>
      <c r="F18" s="59"/>
      <c r="G18" s="59"/>
      <c r="H18" s="67">
        <v>100000</v>
      </c>
      <c r="I18" s="110">
        <f>11556.73+11499.22+17216.76+13044.44</f>
        <v>53317.149999999994</v>
      </c>
      <c r="J18" s="50" t="s">
        <v>80</v>
      </c>
      <c r="K18" s="41">
        <f t="shared" si="0"/>
        <v>46682.850000000006</v>
      </c>
      <c r="L18" s="2"/>
    </row>
    <row r="19" spans="1:12" ht="20.25" customHeight="1">
      <c r="A19" s="8"/>
      <c r="B19" s="10"/>
      <c r="C19" s="79">
        <v>1.1200000000000001</v>
      </c>
      <c r="D19" s="59" t="s">
        <v>14</v>
      </c>
      <c r="E19" s="59"/>
      <c r="F19" s="59"/>
      <c r="G19" s="59"/>
      <c r="H19" s="67">
        <v>1300000</v>
      </c>
      <c r="I19" s="110">
        <f>57434+49053+87112+33883+192425+293899+195824+42502+62154+116343</f>
        <v>1130629</v>
      </c>
      <c r="J19" s="50" t="s">
        <v>80</v>
      </c>
      <c r="K19" s="41">
        <f t="shared" si="0"/>
        <v>169371</v>
      </c>
      <c r="L19" s="2"/>
    </row>
    <row r="20" spans="1:12" ht="20.25" customHeight="1">
      <c r="A20" s="8"/>
      <c r="B20" s="10"/>
      <c r="C20" s="79">
        <v>1.1299999999999999</v>
      </c>
      <c r="D20" s="59" t="s">
        <v>15</v>
      </c>
      <c r="E20" s="59"/>
      <c r="F20" s="59"/>
      <c r="G20" s="59"/>
      <c r="H20" s="67">
        <v>0</v>
      </c>
      <c r="I20" s="34">
        <v>0</v>
      </c>
      <c r="J20" s="50"/>
      <c r="K20" s="41">
        <v>0</v>
      </c>
      <c r="L20" s="2"/>
    </row>
    <row r="21" spans="1:12" ht="20.25" customHeight="1">
      <c r="A21" s="8"/>
      <c r="B21" s="10"/>
      <c r="C21" s="79">
        <v>1.1399999999999999</v>
      </c>
      <c r="D21" s="59" t="s">
        <v>16</v>
      </c>
      <c r="E21" s="59"/>
      <c r="F21" s="59"/>
      <c r="G21" s="59"/>
      <c r="H21" s="67">
        <v>500000</v>
      </c>
      <c r="I21" s="110">
        <f>64693.17+49424.09+91740.82+56851.12+7689.07+93886.22+13291.11+118292.2+112285.67+58925.16</f>
        <v>667078.63</v>
      </c>
      <c r="J21" s="50" t="s">
        <v>81</v>
      </c>
      <c r="K21" s="41">
        <f>+I21-H21</f>
        <v>167078.63</v>
      </c>
      <c r="L21" s="2"/>
    </row>
    <row r="22" spans="1:12" ht="20.25" customHeight="1" thickBot="1">
      <c r="A22" s="8"/>
      <c r="B22" s="10"/>
      <c r="C22" s="80"/>
      <c r="D22" s="59"/>
      <c r="E22" s="59" t="s">
        <v>19</v>
      </c>
      <c r="F22" s="59"/>
      <c r="G22" s="59"/>
      <c r="H22" s="81">
        <f>SUM(H8:H21)</f>
        <v>20962000</v>
      </c>
      <c r="I22" s="51">
        <f>SUM(I8:I21)</f>
        <v>23400541.59</v>
      </c>
      <c r="J22" s="52" t="s">
        <v>81</v>
      </c>
      <c r="K22" s="49">
        <f>+K8+K10+K11+K15+K21-K9+K12-K13-K14-K16-K17-K18-K19</f>
        <v>2438541.5900000003</v>
      </c>
      <c r="L22" s="2"/>
    </row>
    <row r="23" spans="1:12" ht="20.25" customHeight="1" thickTop="1">
      <c r="A23" s="8"/>
      <c r="B23" s="12" t="s">
        <v>22</v>
      </c>
      <c r="C23" s="16" t="s">
        <v>23</v>
      </c>
      <c r="D23" s="14"/>
      <c r="E23" s="14"/>
      <c r="F23" s="14"/>
      <c r="G23" s="10"/>
      <c r="H23" s="24"/>
      <c r="I23" s="8"/>
      <c r="J23" s="8"/>
      <c r="K23" s="11"/>
      <c r="L23" s="2"/>
    </row>
    <row r="24" spans="1:12" ht="20.25" customHeight="1">
      <c r="A24" s="8"/>
      <c r="B24" s="10"/>
      <c r="C24" s="83">
        <v>2.1</v>
      </c>
      <c r="D24" s="59" t="s">
        <v>25</v>
      </c>
      <c r="E24" s="59"/>
      <c r="F24" s="59"/>
      <c r="G24" s="59"/>
      <c r="H24" s="67">
        <v>1600</v>
      </c>
      <c r="I24" s="110">
        <f>1716.9+203.7+174.6</f>
        <v>2095.2000000000003</v>
      </c>
      <c r="J24" s="50" t="s">
        <v>81</v>
      </c>
      <c r="K24" s="41">
        <f>+I24-H24</f>
        <v>495.20000000000027</v>
      </c>
      <c r="L24" s="2"/>
    </row>
    <row r="25" spans="1:12" ht="20.25" customHeight="1">
      <c r="A25" s="8"/>
      <c r="B25" s="10"/>
      <c r="C25" s="83">
        <v>2.2000000000000002</v>
      </c>
      <c r="D25" s="59" t="s">
        <v>26</v>
      </c>
      <c r="E25" s="59"/>
      <c r="F25" s="59"/>
      <c r="G25" s="59"/>
      <c r="H25" s="67">
        <v>0</v>
      </c>
      <c r="I25" s="34">
        <v>0</v>
      </c>
      <c r="J25" s="50"/>
      <c r="K25" s="41">
        <v>0</v>
      </c>
      <c r="L25" s="2"/>
    </row>
    <row r="26" spans="1:12" ht="20.25" customHeight="1">
      <c r="A26" s="8"/>
      <c r="B26" s="10"/>
      <c r="C26" s="83">
        <v>2.2999999999999998</v>
      </c>
      <c r="D26" s="59" t="s">
        <v>27</v>
      </c>
      <c r="E26" s="59"/>
      <c r="F26" s="59"/>
      <c r="G26" s="59"/>
      <c r="H26" s="67">
        <v>3000</v>
      </c>
      <c r="I26" s="110">
        <f>424+300.5+132.5+232+602.25+207+711.25+1952+481.5+1996+466.5+308</f>
        <v>7813.5</v>
      </c>
      <c r="J26" s="50" t="s">
        <v>81</v>
      </c>
      <c r="K26" s="41">
        <f t="shared" ref="K26:K34" si="1">+I26-H26</f>
        <v>4813.5</v>
      </c>
      <c r="L26" s="2"/>
    </row>
    <row r="27" spans="1:12" ht="20.25" customHeight="1">
      <c r="A27" s="8"/>
      <c r="B27" s="10"/>
      <c r="C27" s="83">
        <v>2.4</v>
      </c>
      <c r="D27" s="59" t="s">
        <v>36</v>
      </c>
      <c r="E27" s="59"/>
      <c r="F27" s="59"/>
      <c r="G27" s="59"/>
      <c r="H27" s="67">
        <v>200</v>
      </c>
      <c r="I27" s="110">
        <f>20+20+40+30+40+30+20+10+10</f>
        <v>220</v>
      </c>
      <c r="J27" s="50" t="s">
        <v>81</v>
      </c>
      <c r="K27" s="41">
        <f t="shared" si="1"/>
        <v>20</v>
      </c>
      <c r="L27" s="2"/>
    </row>
    <row r="28" spans="1:12" ht="20.25" customHeight="1">
      <c r="A28" s="8"/>
      <c r="B28" s="10"/>
      <c r="C28" s="83">
        <v>2.5</v>
      </c>
      <c r="D28" s="59" t="s">
        <v>89</v>
      </c>
      <c r="E28" s="59"/>
      <c r="F28" s="59"/>
      <c r="G28" s="59"/>
      <c r="H28" s="67">
        <v>1000</v>
      </c>
      <c r="I28" s="110">
        <f>90+200+50+50+120+100+60+230+50+100</f>
        <v>1050</v>
      </c>
      <c r="J28" s="50" t="s">
        <v>81</v>
      </c>
      <c r="K28" s="41">
        <f t="shared" si="1"/>
        <v>50</v>
      </c>
      <c r="L28" s="2"/>
    </row>
    <row r="29" spans="1:12" ht="20.25" customHeight="1">
      <c r="A29" s="8"/>
      <c r="B29" s="10"/>
      <c r="C29" s="83">
        <v>2.6</v>
      </c>
      <c r="D29" s="59" t="s">
        <v>29</v>
      </c>
      <c r="E29" s="59"/>
      <c r="F29" s="59"/>
      <c r="G29" s="59"/>
      <c r="H29" s="67">
        <v>1000</v>
      </c>
      <c r="I29" s="110">
        <f>3530+20+10</f>
        <v>3560</v>
      </c>
      <c r="J29" s="50" t="s">
        <v>81</v>
      </c>
      <c r="K29" s="41">
        <f t="shared" si="1"/>
        <v>2560</v>
      </c>
      <c r="L29" s="2"/>
    </row>
    <row r="30" spans="1:12" ht="20.25" customHeight="1">
      <c r="A30" s="8"/>
      <c r="B30" s="10"/>
      <c r="C30" s="83">
        <v>2.7</v>
      </c>
      <c r="D30" s="59" t="s">
        <v>30</v>
      </c>
      <c r="E30" s="59"/>
      <c r="F30" s="59"/>
      <c r="G30" s="59"/>
      <c r="H30" s="67">
        <v>1000</v>
      </c>
      <c r="I30" s="110">
        <f>800+200+800+800+800+400+1200+1200+400</f>
        <v>6600</v>
      </c>
      <c r="J30" s="50" t="s">
        <v>81</v>
      </c>
      <c r="K30" s="41">
        <f t="shared" si="1"/>
        <v>5600</v>
      </c>
      <c r="L30" s="2"/>
    </row>
    <row r="31" spans="1:12" ht="20.25" customHeight="1">
      <c r="A31" s="8"/>
      <c r="B31" s="10"/>
      <c r="C31" s="83">
        <v>2.8</v>
      </c>
      <c r="D31" s="59" t="s">
        <v>31</v>
      </c>
      <c r="E31" s="59"/>
      <c r="F31" s="59"/>
      <c r="G31" s="59"/>
      <c r="H31" s="67">
        <v>100000</v>
      </c>
      <c r="I31" s="110">
        <f>9624+29004+11582+56406</f>
        <v>106616</v>
      </c>
      <c r="J31" s="50" t="s">
        <v>81</v>
      </c>
      <c r="K31" s="41">
        <f t="shared" si="1"/>
        <v>6616</v>
      </c>
      <c r="L31" s="2"/>
    </row>
    <row r="32" spans="1:12" ht="20.25" customHeight="1">
      <c r="A32" s="8"/>
      <c r="B32" s="10"/>
      <c r="C32" s="83">
        <v>2.9</v>
      </c>
      <c r="D32" s="59" t="s">
        <v>28</v>
      </c>
      <c r="E32" s="59"/>
      <c r="F32" s="59"/>
      <c r="G32" s="59"/>
      <c r="H32" s="67">
        <v>3000</v>
      </c>
      <c r="I32" s="110">
        <v>6000</v>
      </c>
      <c r="J32" s="50" t="s">
        <v>81</v>
      </c>
      <c r="K32" s="41">
        <f t="shared" si="1"/>
        <v>3000</v>
      </c>
      <c r="L32" s="2"/>
    </row>
    <row r="33" spans="1:12" ht="20.25" customHeight="1">
      <c r="A33" s="8"/>
      <c r="B33" s="10"/>
      <c r="C33" s="79">
        <v>2.1</v>
      </c>
      <c r="D33" s="59" t="s">
        <v>32</v>
      </c>
      <c r="E33" s="59"/>
      <c r="F33" s="59"/>
      <c r="G33" s="59"/>
      <c r="H33" s="67">
        <v>20000</v>
      </c>
      <c r="I33" s="110">
        <f>7000+9400+15900+3700+100+4300+1200</f>
        <v>41600</v>
      </c>
      <c r="J33" s="50" t="s">
        <v>81</v>
      </c>
      <c r="K33" s="41">
        <f t="shared" si="1"/>
        <v>21600</v>
      </c>
      <c r="L33" s="2"/>
    </row>
    <row r="34" spans="1:12" ht="20.25" customHeight="1">
      <c r="A34" s="8"/>
      <c r="B34" s="10"/>
      <c r="C34" s="79">
        <v>2.11</v>
      </c>
      <c r="D34" s="59" t="s">
        <v>90</v>
      </c>
      <c r="E34" s="59"/>
      <c r="F34" s="59"/>
      <c r="G34" s="59"/>
      <c r="H34" s="67">
        <v>0</v>
      </c>
      <c r="I34" s="110">
        <f>300+3000+300+500+100</f>
        <v>4200</v>
      </c>
      <c r="J34" s="50" t="s">
        <v>81</v>
      </c>
      <c r="K34" s="41">
        <f t="shared" si="1"/>
        <v>4200</v>
      </c>
      <c r="L34" s="2"/>
    </row>
    <row r="35" spans="1:12" ht="20.25" customHeight="1">
      <c r="A35" s="8"/>
      <c r="B35" s="10"/>
      <c r="C35" s="79">
        <v>2.12</v>
      </c>
      <c r="D35" s="59" t="s">
        <v>33</v>
      </c>
      <c r="E35" s="59"/>
      <c r="F35" s="59"/>
      <c r="G35" s="59"/>
      <c r="H35" s="67">
        <v>2400</v>
      </c>
      <c r="I35" s="110">
        <f>300+300+900+300</f>
        <v>1800</v>
      </c>
      <c r="J35" s="50" t="s">
        <v>80</v>
      </c>
      <c r="K35" s="41">
        <f t="shared" ref="K35:K36" si="2">+H35-I35</f>
        <v>600</v>
      </c>
      <c r="L35" s="2"/>
    </row>
    <row r="36" spans="1:12" ht="20.25" customHeight="1">
      <c r="A36" s="8"/>
      <c r="B36" s="10"/>
      <c r="C36" s="79">
        <v>2.13</v>
      </c>
      <c r="D36" s="59" t="s">
        <v>37</v>
      </c>
      <c r="E36" s="59"/>
      <c r="F36" s="59"/>
      <c r="G36" s="59"/>
      <c r="H36" s="67">
        <v>2000</v>
      </c>
      <c r="I36" s="34">
        <v>0</v>
      </c>
      <c r="J36" s="50" t="s">
        <v>80</v>
      </c>
      <c r="K36" s="41">
        <f t="shared" si="2"/>
        <v>2000</v>
      </c>
      <c r="L36" s="2"/>
    </row>
    <row r="37" spans="1:12" ht="20.25" customHeight="1">
      <c r="A37" s="8"/>
      <c r="B37" s="10"/>
      <c r="C37" s="79">
        <v>2.14</v>
      </c>
      <c r="D37" s="59" t="s">
        <v>34</v>
      </c>
      <c r="E37" s="59"/>
      <c r="F37" s="59"/>
      <c r="G37" s="114" t="s">
        <v>87</v>
      </c>
      <c r="H37" s="67">
        <v>1500</v>
      </c>
      <c r="I37" s="110">
        <f>130+160+100+110+200+130+150-20+100+160+60+160+100</f>
        <v>1540</v>
      </c>
      <c r="J37" s="50" t="s">
        <v>80</v>
      </c>
      <c r="K37" s="41">
        <f>+I37-H37</f>
        <v>40</v>
      </c>
      <c r="L37" s="2"/>
    </row>
    <row r="38" spans="1:12" ht="20.25" customHeight="1">
      <c r="A38" s="8"/>
      <c r="B38" s="10"/>
      <c r="C38" s="79">
        <v>2.15</v>
      </c>
      <c r="D38" s="59" t="s">
        <v>35</v>
      </c>
      <c r="E38" s="59"/>
      <c r="F38" s="59"/>
      <c r="G38" s="59"/>
      <c r="H38" s="67">
        <v>800</v>
      </c>
      <c r="I38" s="110">
        <f>60+1000+500</f>
        <v>1560</v>
      </c>
      <c r="J38" s="50" t="s">
        <v>81</v>
      </c>
      <c r="K38" s="41">
        <f>+I38-H38</f>
        <v>760</v>
      </c>
      <c r="L38" s="2"/>
    </row>
    <row r="39" spans="1:12" ht="20.25" customHeight="1" thickBot="1">
      <c r="A39" s="8"/>
      <c r="B39" s="10"/>
      <c r="C39" s="79"/>
      <c r="D39" s="59"/>
      <c r="E39" s="59" t="s">
        <v>19</v>
      </c>
      <c r="F39" s="59"/>
      <c r="G39" s="59"/>
      <c r="H39" s="81">
        <f>SUM(H24:H38)</f>
        <v>137500</v>
      </c>
      <c r="I39" s="51">
        <f>SUM(I24:I38)</f>
        <v>184654.7</v>
      </c>
      <c r="J39" s="52" t="s">
        <v>81</v>
      </c>
      <c r="K39" s="49">
        <f>+K24+K26+K27+K28+K29+K30+K32+K33+K34+K38+K31-K35-K36+K37</f>
        <v>47154.7</v>
      </c>
      <c r="L39" s="2"/>
    </row>
    <row r="40" spans="1:12" s="39" customFormat="1" ht="13.5" customHeight="1" thickTop="1">
      <c r="A40" s="10"/>
      <c r="B40" s="10"/>
      <c r="C40" s="15"/>
      <c r="D40" s="10"/>
      <c r="E40" s="10"/>
      <c r="F40" s="10"/>
      <c r="G40" s="10"/>
      <c r="H40" s="35"/>
      <c r="I40" s="35"/>
      <c r="J40" s="36"/>
      <c r="K40" s="35"/>
      <c r="L40" s="37"/>
    </row>
    <row r="41" spans="1:12">
      <c r="A41" s="128" t="s">
        <v>1</v>
      </c>
      <c r="B41" s="129"/>
      <c r="C41" s="129"/>
      <c r="D41" s="129"/>
      <c r="E41" s="129"/>
      <c r="F41" s="129"/>
      <c r="G41" s="129"/>
      <c r="H41" s="46" t="s">
        <v>17</v>
      </c>
      <c r="I41" s="46" t="s">
        <v>18</v>
      </c>
      <c r="J41" s="130" t="s">
        <v>72</v>
      </c>
      <c r="K41" s="131"/>
      <c r="L41" s="2"/>
    </row>
    <row r="42" spans="1:12" ht="20.25" customHeight="1">
      <c r="A42" s="8"/>
      <c r="B42" s="12" t="s">
        <v>39</v>
      </c>
      <c r="C42" s="14" t="s">
        <v>42</v>
      </c>
      <c r="D42" s="14"/>
      <c r="E42" s="10"/>
      <c r="F42" s="10"/>
      <c r="G42" s="10"/>
      <c r="H42" s="8"/>
      <c r="I42" s="8"/>
      <c r="J42" s="20"/>
      <c r="K42" s="21"/>
      <c r="L42" s="2"/>
    </row>
    <row r="43" spans="1:12" ht="20.25" customHeight="1">
      <c r="A43" s="8"/>
      <c r="B43" s="10"/>
      <c r="C43" s="78">
        <v>3.1</v>
      </c>
      <c r="D43" s="59" t="s">
        <v>40</v>
      </c>
      <c r="E43" s="59"/>
      <c r="F43" s="59"/>
      <c r="G43" s="59"/>
      <c r="H43" s="34">
        <v>400000</v>
      </c>
      <c r="I43" s="110">
        <f>80235.51+24361.72+1562.54+9203.27+1600.81+133482.71+8517.94</f>
        <v>258964.5</v>
      </c>
      <c r="J43" s="50" t="s">
        <v>80</v>
      </c>
      <c r="K43" s="41">
        <f>+H43-I43</f>
        <v>141035.5</v>
      </c>
      <c r="L43" s="2"/>
    </row>
    <row r="44" spans="1:12" ht="20.25" customHeight="1" thickBot="1">
      <c r="A44" s="8"/>
      <c r="B44" s="10"/>
      <c r="C44" s="59"/>
      <c r="D44" s="59"/>
      <c r="E44" s="59" t="s">
        <v>19</v>
      </c>
      <c r="F44" s="59"/>
      <c r="G44" s="59" t="s">
        <v>95</v>
      </c>
      <c r="H44" s="51">
        <f>SUM(H43)</f>
        <v>400000</v>
      </c>
      <c r="I44" s="51">
        <f>SUM(I43)</f>
        <v>258964.5</v>
      </c>
      <c r="J44" s="52" t="s">
        <v>80</v>
      </c>
      <c r="K44" s="49">
        <f>SUM(K43)</f>
        <v>141035.5</v>
      </c>
      <c r="L44" s="2"/>
    </row>
    <row r="45" spans="1:12" ht="20.25" customHeight="1" thickTop="1">
      <c r="A45" s="8"/>
      <c r="B45" s="12" t="s">
        <v>41</v>
      </c>
      <c r="C45" s="14" t="s">
        <v>43</v>
      </c>
      <c r="D45" s="14"/>
      <c r="E45" s="10"/>
      <c r="F45" s="10"/>
      <c r="G45" s="10"/>
      <c r="H45" s="8"/>
      <c r="I45" s="8"/>
      <c r="J45" s="8"/>
      <c r="K45" s="11"/>
      <c r="L45" s="2"/>
    </row>
    <row r="46" spans="1:12" ht="20.25" customHeight="1">
      <c r="A46" s="8"/>
      <c r="B46" s="10"/>
      <c r="C46" s="78">
        <v>4.0999999999999996</v>
      </c>
      <c r="D46" s="59" t="s">
        <v>44</v>
      </c>
      <c r="E46" s="59"/>
      <c r="F46" s="59"/>
      <c r="G46" s="59"/>
      <c r="H46" s="34">
        <v>28448000</v>
      </c>
      <c r="I46" s="34">
        <f>6222281.5+2322000+561600+6000+198000+108800+4309306.5+2322000+561600+194700+1564856+6000+1662+1546574+2322000+561600+7500+194700+38829+189420+1566972+2322000+561600+7500+64288+5880+5343+284000</f>
        <v>28057012</v>
      </c>
      <c r="J46" s="50" t="s">
        <v>80</v>
      </c>
      <c r="K46" s="42">
        <f>+H46-I46</f>
        <v>390988</v>
      </c>
      <c r="L46" s="2"/>
    </row>
    <row r="47" spans="1:12" ht="20.25" customHeight="1" thickBot="1">
      <c r="A47" s="8"/>
      <c r="B47" s="10"/>
      <c r="C47" s="59"/>
      <c r="D47" s="59"/>
      <c r="E47" s="59" t="s">
        <v>19</v>
      </c>
      <c r="F47" s="59"/>
      <c r="G47" s="59"/>
      <c r="H47" s="51">
        <f>SUM(H46)</f>
        <v>28448000</v>
      </c>
      <c r="I47" s="51">
        <f>SUM(I46)</f>
        <v>28057012</v>
      </c>
      <c r="J47" s="52" t="s">
        <v>80</v>
      </c>
      <c r="K47" s="55">
        <f>+H47-I47</f>
        <v>390988</v>
      </c>
      <c r="L47" s="2"/>
    </row>
    <row r="48" spans="1:12" ht="20.25" customHeight="1" thickTop="1">
      <c r="A48" s="8"/>
      <c r="B48" s="12" t="s">
        <v>45</v>
      </c>
      <c r="C48" s="14" t="s">
        <v>46</v>
      </c>
      <c r="D48" s="14"/>
      <c r="E48" s="10"/>
      <c r="F48" s="10"/>
      <c r="G48" s="10"/>
      <c r="H48" s="8"/>
      <c r="I48" s="8"/>
      <c r="J48" s="8"/>
      <c r="K48" s="11"/>
      <c r="L48" s="2"/>
    </row>
    <row r="49" spans="1:12" ht="20.25" customHeight="1">
      <c r="A49" s="8"/>
      <c r="B49" s="10"/>
      <c r="C49" s="78">
        <v>5.0999999999999996</v>
      </c>
      <c r="D49" s="59" t="s">
        <v>47</v>
      </c>
      <c r="E49" s="59"/>
      <c r="F49" s="59"/>
      <c r="G49" s="59"/>
      <c r="H49" s="34">
        <v>50000</v>
      </c>
      <c r="I49" s="34">
        <v>8000</v>
      </c>
      <c r="J49" s="50" t="s">
        <v>80</v>
      </c>
      <c r="K49" s="42">
        <f>+H49-I49</f>
        <v>42000</v>
      </c>
      <c r="L49" s="2"/>
    </row>
    <row r="50" spans="1:12" ht="20.25" customHeight="1">
      <c r="A50" s="8"/>
      <c r="B50" s="10"/>
      <c r="C50" s="78">
        <v>5.2</v>
      </c>
      <c r="D50" s="59" t="s">
        <v>48</v>
      </c>
      <c r="E50" s="59"/>
      <c r="F50" s="59"/>
      <c r="G50" s="114" t="s">
        <v>87</v>
      </c>
      <c r="H50" s="34">
        <v>500</v>
      </c>
      <c r="I50" s="34">
        <f>20+120+120+20+60+80+20+85+20+20</f>
        <v>565</v>
      </c>
      <c r="J50" s="50" t="s">
        <v>81</v>
      </c>
      <c r="K50" s="42">
        <f>+I50-H50</f>
        <v>65</v>
      </c>
      <c r="L50" s="2"/>
    </row>
    <row r="51" spans="1:12" ht="20.25" customHeight="1">
      <c r="A51" s="8"/>
      <c r="B51" s="10"/>
      <c r="C51" s="78">
        <v>5.3</v>
      </c>
      <c r="D51" s="59" t="s">
        <v>49</v>
      </c>
      <c r="E51" s="59"/>
      <c r="F51" s="59"/>
      <c r="G51" s="59"/>
      <c r="H51" s="34">
        <v>1000</v>
      </c>
      <c r="I51" s="34">
        <f>100+200+100</f>
        <v>400</v>
      </c>
      <c r="J51" s="50" t="s">
        <v>80</v>
      </c>
      <c r="K51" s="42">
        <f>+H51-I51</f>
        <v>600</v>
      </c>
      <c r="L51" s="2"/>
    </row>
    <row r="52" spans="1:12" ht="20.25" customHeight="1" thickBot="1">
      <c r="A52" s="8"/>
      <c r="B52" s="10"/>
      <c r="C52" s="78"/>
      <c r="D52" s="59"/>
      <c r="E52" s="59" t="s">
        <v>19</v>
      </c>
      <c r="F52" s="59"/>
      <c r="G52" s="59"/>
      <c r="H52" s="51">
        <f>SUM(H49:H51)</f>
        <v>51500</v>
      </c>
      <c r="I52" s="51">
        <f>SUM(I49:I51)</f>
        <v>8965</v>
      </c>
      <c r="J52" s="52" t="s">
        <v>80</v>
      </c>
      <c r="K52" s="55">
        <f>+K49+K51-K50</f>
        <v>42535</v>
      </c>
      <c r="L52" s="2"/>
    </row>
    <row r="53" spans="1:12" ht="20.25" customHeight="1" thickTop="1">
      <c r="A53" s="8"/>
      <c r="B53" s="12" t="s">
        <v>51</v>
      </c>
      <c r="C53" s="14" t="s">
        <v>50</v>
      </c>
      <c r="D53" s="14"/>
      <c r="E53" s="10"/>
      <c r="F53" s="10"/>
      <c r="G53" s="10"/>
      <c r="H53" s="8"/>
      <c r="I53" s="8"/>
      <c r="J53" s="8"/>
      <c r="K53" s="11"/>
      <c r="L53" s="2"/>
    </row>
    <row r="54" spans="1:12" ht="20.25" customHeight="1">
      <c r="A54" s="8"/>
      <c r="B54" s="10"/>
      <c r="C54" s="78">
        <v>6.1</v>
      </c>
      <c r="D54" s="59" t="s">
        <v>52</v>
      </c>
      <c r="E54" s="59"/>
      <c r="F54" s="59"/>
      <c r="G54" s="59"/>
      <c r="H54" s="62">
        <v>1000</v>
      </c>
      <c r="I54" s="34">
        <f>8380+560</f>
        <v>8940</v>
      </c>
      <c r="J54" s="50" t="s">
        <v>81</v>
      </c>
      <c r="K54" s="41">
        <f>+I54-H54</f>
        <v>7940</v>
      </c>
      <c r="L54" s="2"/>
    </row>
    <row r="55" spans="1:12" ht="20.25" customHeight="1" thickBot="1">
      <c r="A55" s="8"/>
      <c r="B55" s="10"/>
      <c r="C55" s="59"/>
      <c r="D55" s="59"/>
      <c r="E55" s="59" t="s">
        <v>19</v>
      </c>
      <c r="F55" s="59"/>
      <c r="G55" s="59"/>
      <c r="H55" s="51">
        <f>SUM(H54)</f>
        <v>1000</v>
      </c>
      <c r="I55" s="51">
        <f>SUM(I54)</f>
        <v>8940</v>
      </c>
      <c r="J55" s="52" t="s">
        <v>81</v>
      </c>
      <c r="K55" s="49">
        <f>+I55-H55</f>
        <v>7940</v>
      </c>
      <c r="L55" s="2"/>
    </row>
    <row r="56" spans="1:12" ht="20.25" customHeight="1" thickTop="1" thickBot="1">
      <c r="A56" s="8"/>
      <c r="B56" s="10"/>
      <c r="C56" s="10"/>
      <c r="D56" s="14" t="s">
        <v>53</v>
      </c>
      <c r="E56" s="10"/>
      <c r="F56" s="10"/>
      <c r="G56" s="10"/>
      <c r="H56" s="27">
        <f>+H55+H52+H47+H44+H22++H39</f>
        <v>50000000</v>
      </c>
      <c r="I56" s="28">
        <f>+I22+I39+I44+I47+I52+I55</f>
        <v>51919077.789999999</v>
      </c>
      <c r="J56" s="29" t="s">
        <v>81</v>
      </c>
      <c r="K56" s="30">
        <f>+K22+K39+K55-K44-K47-K52</f>
        <v>1919077.7900000005</v>
      </c>
      <c r="L56" s="2"/>
    </row>
    <row r="57" spans="1:12" s="39" customFormat="1" ht="12" customHeight="1" thickTop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47"/>
      <c r="L57" s="37"/>
    </row>
    <row r="58" spans="1:12">
      <c r="A58" s="128" t="s">
        <v>1</v>
      </c>
      <c r="B58" s="129"/>
      <c r="C58" s="129"/>
      <c r="D58" s="129"/>
      <c r="E58" s="129"/>
      <c r="F58" s="129"/>
      <c r="G58" s="129"/>
      <c r="H58" s="46" t="s">
        <v>83</v>
      </c>
      <c r="I58" s="38" t="s">
        <v>82</v>
      </c>
      <c r="J58" s="130" t="s">
        <v>72</v>
      </c>
      <c r="K58" s="131"/>
      <c r="L58" s="2"/>
    </row>
    <row r="59" spans="1:12">
      <c r="A59" s="17" t="s">
        <v>54</v>
      </c>
      <c r="B59" s="3"/>
      <c r="C59" s="3"/>
      <c r="D59" s="3"/>
      <c r="E59" s="3"/>
      <c r="F59" s="3"/>
      <c r="G59" s="3"/>
      <c r="H59" s="8"/>
      <c r="I59" s="8"/>
      <c r="J59" s="20"/>
      <c r="K59" s="21"/>
      <c r="L59" s="2"/>
    </row>
    <row r="60" spans="1:12" ht="20.25" customHeight="1">
      <c r="A60" s="8" t="s">
        <v>55</v>
      </c>
      <c r="B60" s="3" t="s">
        <v>56</v>
      </c>
      <c r="C60" s="3"/>
      <c r="D60" s="3"/>
      <c r="E60" s="3"/>
      <c r="F60" s="3"/>
      <c r="G60" s="3"/>
      <c r="H60" s="8"/>
      <c r="I60" s="18"/>
      <c r="J60" s="8"/>
      <c r="K60" s="11"/>
      <c r="L60" s="2"/>
    </row>
    <row r="61" spans="1:12" ht="20.25" customHeight="1">
      <c r="A61" s="8"/>
      <c r="B61" s="5" t="s">
        <v>21</v>
      </c>
      <c r="C61" s="6" t="s">
        <v>57</v>
      </c>
      <c r="D61" s="7"/>
      <c r="E61" s="3"/>
      <c r="F61" s="3"/>
      <c r="G61" s="3"/>
      <c r="H61" s="8"/>
      <c r="I61" s="18"/>
      <c r="J61" s="8"/>
      <c r="K61" s="11"/>
      <c r="L61" s="2"/>
    </row>
    <row r="62" spans="1:12" ht="20.25" customHeight="1">
      <c r="A62" s="8"/>
      <c r="B62" s="3"/>
      <c r="C62" s="94">
        <v>1.1000000000000001</v>
      </c>
      <c r="D62" s="65" t="s">
        <v>58</v>
      </c>
      <c r="E62" s="65"/>
      <c r="F62" s="114" t="s">
        <v>87</v>
      </c>
      <c r="G62" s="65"/>
      <c r="H62" s="34">
        <f>140000+9800000+2400000+60000+160000+10000+215520-190000+280000</f>
        <v>12875520</v>
      </c>
      <c r="I62" s="34">
        <f>616820-135900+631400-600+131200+791112-498500+623100-1200+132000+494420-211000+618500+134400+274000+615100+132800+432332+608300+137600+355640-51000+604600+137600+284900+602400+140800+345616+599000+143200-49200+298616+596800+143200-1600+299116+593500+144000+316223+589400+144000+304880+586900+144000</f>
        <v>12798475</v>
      </c>
      <c r="J62" s="50" t="s">
        <v>80</v>
      </c>
      <c r="K62" s="42">
        <f t="shared" ref="K62:K69" si="3">+H62-I62</f>
        <v>77045</v>
      </c>
      <c r="L62" s="97"/>
    </row>
    <row r="63" spans="1:12" ht="20.25" customHeight="1">
      <c r="A63" s="8"/>
      <c r="B63" s="3"/>
      <c r="C63" s="94">
        <v>1.2</v>
      </c>
      <c r="D63" s="65" t="s">
        <v>59</v>
      </c>
      <c r="E63" s="65"/>
      <c r="F63" s="65"/>
      <c r="G63" s="65"/>
      <c r="H63" s="34">
        <v>1000000</v>
      </c>
      <c r="I63" s="34">
        <f>135900+498500+211000+51000+49200</f>
        <v>945600</v>
      </c>
      <c r="J63" s="50" t="s">
        <v>80</v>
      </c>
      <c r="K63" s="42">
        <f t="shared" si="3"/>
        <v>54400</v>
      </c>
      <c r="L63" s="2"/>
    </row>
    <row r="64" spans="1:12" ht="20.25" customHeight="1" thickBot="1">
      <c r="A64" s="8"/>
      <c r="B64" s="3"/>
      <c r="C64" s="3"/>
      <c r="D64" s="3"/>
      <c r="E64" s="3" t="s">
        <v>19</v>
      </c>
      <c r="F64" s="3"/>
      <c r="G64" s="3"/>
      <c r="H64" s="19">
        <f>SUM(H62:H63)</f>
        <v>13875520</v>
      </c>
      <c r="I64" s="116">
        <f>SUM(I62:I63)</f>
        <v>13744075</v>
      </c>
      <c r="J64" s="25" t="s">
        <v>80</v>
      </c>
      <c r="K64" s="26">
        <f t="shared" si="3"/>
        <v>131445</v>
      </c>
      <c r="L64" s="2"/>
    </row>
    <row r="65" spans="1:17" ht="20.25" customHeight="1" thickTop="1">
      <c r="A65" s="8"/>
      <c r="B65" s="5" t="s">
        <v>22</v>
      </c>
      <c r="C65" s="92" t="s">
        <v>60</v>
      </c>
      <c r="D65" s="93"/>
      <c r="E65" s="93"/>
      <c r="F65" s="65"/>
      <c r="G65" s="65"/>
      <c r="H65" s="34">
        <f>3953520+2444760+210000+229200+1896840+42000+174840+666960+42000+488040+666960+42000+659640+42000+673200+42000-150000-225000-220000-50000-15000-271600-85000-114000-100000-24100+17500-3000+3000-185000</f>
        <v>10851760</v>
      </c>
      <c r="I65" s="115">
        <f>315060+500030+315060+501399.67+315060+500550+315060+500550+315060+530670+315060+530670+315060+555778+315060+556280+315060+556280+556280+315060+556280+315060+575680+315060</f>
        <v>10201167.67</v>
      </c>
      <c r="J65" s="50" t="s">
        <v>80</v>
      </c>
      <c r="K65" s="42">
        <f t="shared" si="3"/>
        <v>650592.33000000007</v>
      </c>
      <c r="L65" s="97"/>
      <c r="M65" s="40" t="s">
        <v>85</v>
      </c>
      <c r="N65" s="40"/>
      <c r="O65" s="40"/>
      <c r="P65" s="40"/>
      <c r="Q65" s="40"/>
    </row>
    <row r="66" spans="1:17" ht="20.25" customHeight="1">
      <c r="A66" s="8"/>
      <c r="B66" s="5" t="s">
        <v>39</v>
      </c>
      <c r="C66" s="93" t="s">
        <v>61</v>
      </c>
      <c r="D66" s="93"/>
      <c r="E66" s="93"/>
      <c r="F66" s="65"/>
      <c r="G66" s="65"/>
      <c r="H66" s="34">
        <f>1383240+137520+144960+21420+203520+230640+36000+189000+428160+66840+189000-50000+40000-35000</f>
        <v>2985300</v>
      </c>
      <c r="I66" s="115">
        <f>209820+236390+236390+236390+236390+236390+224310+224310+224310+236737+253724.02+257595</f>
        <v>2812756.02</v>
      </c>
      <c r="J66" s="50" t="s">
        <v>80</v>
      </c>
      <c r="K66" s="42">
        <f t="shared" si="3"/>
        <v>172543.97999999998</v>
      </c>
      <c r="L66" s="97"/>
      <c r="M66" s="40"/>
      <c r="N66" s="40"/>
      <c r="O66" s="40"/>
      <c r="P66" s="40"/>
      <c r="Q66" s="40"/>
    </row>
    <row r="67" spans="1:17" ht="20.25" customHeight="1">
      <c r="A67" s="8"/>
      <c r="B67" s="5" t="s">
        <v>41</v>
      </c>
      <c r="C67" s="93" t="s">
        <v>62</v>
      </c>
      <c r="D67" s="93"/>
      <c r="E67" s="93"/>
      <c r="F67" s="113" t="s">
        <v>88</v>
      </c>
      <c r="G67" s="65"/>
      <c r="H67" s="62">
        <f>2957920+200000+3804640+979330+260000+1145650+400000+277730+701850-50000+50000-30000-160000+207000-115000+98000-60000+190000+20000-40000-172000-77000+227000+72000-10000-10000-60000+80000-306500+210500-54000+180000-30000-23000-48800+4800-88900-40000+260000-59050+20000+30000+59050+15000-20000-10000+170000+10000+171600+85000-20000-62000+30000-40000+12000+13000+236000-44000+24000-27500+30000-120000+70000+50000+185000</f>
        <v>11759320</v>
      </c>
      <c r="I67" s="34">
        <v>10688701.32</v>
      </c>
      <c r="J67" s="50" t="s">
        <v>80</v>
      </c>
      <c r="K67" s="42">
        <f t="shared" si="3"/>
        <v>1070618.6799999997</v>
      </c>
      <c r="L67" s="97"/>
      <c r="M67" s="40"/>
      <c r="N67" s="40"/>
      <c r="O67" s="40"/>
      <c r="P67" s="40"/>
      <c r="Q67" s="40"/>
    </row>
    <row r="68" spans="1:17" ht="20.25" customHeight="1">
      <c r="A68" s="8"/>
      <c r="B68" s="5" t="s">
        <v>45</v>
      </c>
      <c r="C68" s="93" t="s">
        <v>63</v>
      </c>
      <c r="D68" s="93"/>
      <c r="E68" s="93"/>
      <c r="F68" s="65"/>
      <c r="G68" s="65"/>
      <c r="H68" s="34">
        <f>500000-10000-12900-50000</f>
        <v>427100</v>
      </c>
      <c r="I68" s="115">
        <f>52345.41+22653.45+10153.89+19381.65+25706.22+55545.94+13536.41+37449.2+37172.04+34854.28+54649.15</f>
        <v>363447.64</v>
      </c>
      <c r="J68" s="50" t="s">
        <v>80</v>
      </c>
      <c r="K68" s="42">
        <f t="shared" si="3"/>
        <v>63652.359999999986</v>
      </c>
      <c r="L68" s="97"/>
      <c r="M68" s="40"/>
      <c r="N68" s="40"/>
      <c r="O68" s="40"/>
      <c r="P68" s="40"/>
      <c r="Q68" s="40"/>
    </row>
    <row r="69" spans="1:17" ht="20.25" customHeight="1">
      <c r="A69" s="8"/>
      <c r="B69" s="5" t="s">
        <v>51</v>
      </c>
      <c r="C69" s="93" t="s">
        <v>43</v>
      </c>
      <c r="D69" s="93"/>
      <c r="E69" s="93"/>
      <c r="F69" s="65"/>
      <c r="G69" s="65"/>
      <c r="H69" s="34">
        <f>65000+4000000+195000+300000+225000+24100</f>
        <v>4809100</v>
      </c>
      <c r="I69" s="115">
        <f>973000+1270724.29+15000+1361000+989000+24018.29</f>
        <v>4632742.58</v>
      </c>
      <c r="J69" s="50" t="s">
        <v>80</v>
      </c>
      <c r="K69" s="42">
        <f t="shared" si="3"/>
        <v>176357.41999999993</v>
      </c>
      <c r="L69" s="97"/>
      <c r="M69" s="40"/>
      <c r="N69" s="40"/>
      <c r="O69" s="40"/>
      <c r="P69" s="40"/>
      <c r="Q69" s="40"/>
    </row>
    <row r="70" spans="1:17" ht="20.25" customHeight="1">
      <c r="A70" s="8"/>
      <c r="B70" s="5" t="s">
        <v>64</v>
      </c>
      <c r="C70" s="93" t="s">
        <v>65</v>
      </c>
      <c r="D70" s="93"/>
      <c r="E70" s="93"/>
      <c r="F70" s="65"/>
      <c r="G70" s="65"/>
      <c r="H70" s="34">
        <f>25000-25000+25000</f>
        <v>25000</v>
      </c>
      <c r="I70" s="115">
        <v>20000</v>
      </c>
      <c r="J70" s="50" t="s">
        <v>80</v>
      </c>
      <c r="K70" s="41">
        <f>+H70-I70</f>
        <v>5000</v>
      </c>
      <c r="L70" s="109"/>
    </row>
    <row r="71" spans="1:17" ht="20.25" customHeight="1" thickBot="1">
      <c r="A71" s="8"/>
      <c r="B71" s="4"/>
      <c r="C71" s="65"/>
      <c r="D71" s="65"/>
      <c r="E71" s="65" t="s">
        <v>19</v>
      </c>
      <c r="F71" s="65"/>
      <c r="G71" s="65"/>
      <c r="H71" s="51">
        <f>SUM(H65:H70)</f>
        <v>30857580</v>
      </c>
      <c r="I71" s="51">
        <f>SUM(I65:I70)</f>
        <v>28718815.229999997</v>
      </c>
      <c r="J71" s="52" t="s">
        <v>80</v>
      </c>
      <c r="K71" s="49">
        <f>SUM(K65:K70)</f>
        <v>2138764.7699999996</v>
      </c>
      <c r="L71" s="2"/>
    </row>
    <row r="72" spans="1:17" ht="20.25" customHeight="1" thickTop="1">
      <c r="A72" s="8" t="s">
        <v>66</v>
      </c>
      <c r="B72" s="3" t="s">
        <v>67</v>
      </c>
      <c r="C72" s="3"/>
      <c r="D72" s="3"/>
      <c r="E72" s="3"/>
      <c r="F72" s="3"/>
      <c r="G72" s="3"/>
      <c r="H72" s="8"/>
      <c r="I72" s="8"/>
      <c r="J72" s="8"/>
      <c r="K72" s="11"/>
      <c r="L72" s="2"/>
    </row>
    <row r="73" spans="1:17" ht="20.25" customHeight="1">
      <c r="A73" s="8"/>
      <c r="B73" s="5" t="s">
        <v>21</v>
      </c>
      <c r="C73" s="93" t="s">
        <v>68</v>
      </c>
      <c r="D73" s="93"/>
      <c r="E73" s="93"/>
      <c r="F73" s="65"/>
      <c r="G73" s="65"/>
      <c r="H73" s="34">
        <f>73900+219000+140000+4621200+44000-30000+198800-1380800+1380800</f>
        <v>5266900</v>
      </c>
      <c r="I73" s="115">
        <f>389490+320100+844600+1366200+446300+135300+1682000+27000-1682000+33700+274000+221000+1105700</f>
        <v>5163390</v>
      </c>
      <c r="J73" s="50" t="s">
        <v>80</v>
      </c>
      <c r="K73" s="42">
        <f>+H73-I73</f>
        <v>103510</v>
      </c>
      <c r="L73" s="97"/>
      <c r="M73" s="33"/>
    </row>
    <row r="74" spans="1:17" ht="20.25" customHeight="1" thickBot="1">
      <c r="A74" s="8"/>
      <c r="B74" s="3"/>
      <c r="C74" s="3"/>
      <c r="D74" s="7" t="s">
        <v>69</v>
      </c>
      <c r="E74" s="3"/>
      <c r="F74" s="3"/>
      <c r="G74" s="3"/>
      <c r="H74" s="31">
        <f>+H71+H73+H64</f>
        <v>50000000</v>
      </c>
      <c r="I74" s="111">
        <f>+I64+I71+I73</f>
        <v>47626280.229999997</v>
      </c>
      <c r="J74" s="25" t="s">
        <v>80</v>
      </c>
      <c r="K74" s="32">
        <f>+K64+K71-K73</f>
        <v>2166699.7699999996</v>
      </c>
      <c r="L74" s="2"/>
    </row>
    <row r="75" spans="1:17" ht="13.5" customHeight="1" thickTop="1">
      <c r="A75" s="48"/>
      <c r="B75" s="3"/>
      <c r="C75" s="3"/>
      <c r="D75" s="3"/>
      <c r="E75" s="3"/>
      <c r="F75" s="3"/>
      <c r="G75" s="3"/>
      <c r="H75" s="3"/>
      <c r="I75" s="3"/>
      <c r="J75" s="3"/>
      <c r="K75" s="3"/>
      <c r="L75" s="2"/>
    </row>
    <row r="76" spans="1:17" ht="13.5" hidden="1" customHeight="1">
      <c r="A76" s="48"/>
      <c r="B76" s="3"/>
      <c r="C76" s="3"/>
      <c r="D76" s="3"/>
      <c r="E76" s="3"/>
      <c r="F76" s="3"/>
      <c r="G76" s="3"/>
      <c r="H76" s="3"/>
      <c r="I76" s="3"/>
      <c r="J76" s="3"/>
      <c r="K76" s="3"/>
      <c r="L76" s="2"/>
    </row>
    <row r="77" spans="1:17" hidden="1">
      <c r="A77" s="3"/>
      <c r="B77" s="3" t="s">
        <v>70</v>
      </c>
      <c r="C77" s="3"/>
      <c r="D77" s="3"/>
      <c r="E77" s="3"/>
      <c r="F77" s="3" t="s">
        <v>71</v>
      </c>
      <c r="G77" s="3"/>
      <c r="H77" s="3"/>
      <c r="I77" s="3" t="s">
        <v>77</v>
      </c>
      <c r="J77" s="3"/>
      <c r="K77" s="3"/>
      <c r="L77" s="2"/>
    </row>
    <row r="78" spans="1:17" hidden="1">
      <c r="A78" s="3"/>
      <c r="B78" s="3" t="s">
        <v>73</v>
      </c>
      <c r="C78" s="3"/>
      <c r="D78" s="3"/>
      <c r="E78" s="3"/>
      <c r="F78" s="3" t="s">
        <v>75</v>
      </c>
      <c r="G78" s="3"/>
      <c r="H78" s="3"/>
      <c r="I78" s="3" t="s">
        <v>78</v>
      </c>
      <c r="J78" s="3"/>
      <c r="K78" s="3"/>
      <c r="L78" s="2"/>
    </row>
    <row r="79" spans="1:17" hidden="1">
      <c r="A79" s="3"/>
      <c r="B79" s="3" t="s">
        <v>74</v>
      </c>
      <c r="C79" s="3"/>
      <c r="D79" s="3"/>
      <c r="E79" s="3"/>
      <c r="F79" s="3" t="s">
        <v>76</v>
      </c>
      <c r="G79" s="3"/>
      <c r="H79" s="3"/>
      <c r="I79" s="3" t="s">
        <v>79</v>
      </c>
      <c r="J79" s="3"/>
      <c r="K79" s="3"/>
      <c r="L79" s="2"/>
    </row>
    <row r="80" spans="1:17">
      <c r="A80" s="112" t="e">
        <f>+#REF!</f>
        <v>#REF!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</sheetData>
  <mergeCells count="9">
    <mergeCell ref="A58:G58"/>
    <mergeCell ref="J58:K58"/>
    <mergeCell ref="A1:K1"/>
    <mergeCell ref="A2:K2"/>
    <mergeCell ref="A3:K3"/>
    <mergeCell ref="A4:G4"/>
    <mergeCell ref="J4:K4"/>
    <mergeCell ref="A41:G41"/>
    <mergeCell ref="J41:K41"/>
  </mergeCells>
  <pageMargins left="0.19685039370078741" right="0.11811023622047245" top="0.19685039370078741" bottom="7.874015748031496E-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ไตรมาส 1</vt:lpstr>
      <vt:lpstr>ไตรมาส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</dc:creator>
  <cp:lastModifiedBy>Windows User</cp:lastModifiedBy>
  <cp:lastPrinted>2018-10-17T09:23:43Z</cp:lastPrinted>
  <dcterms:created xsi:type="dcterms:W3CDTF">2016-01-07T08:27:31Z</dcterms:created>
  <dcterms:modified xsi:type="dcterms:W3CDTF">2018-11-12T02:41:02Z</dcterms:modified>
</cp:coreProperties>
</file>