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0730" windowHeight="9915"/>
  </bookViews>
  <sheets>
    <sheet name="ไตรมาส 4" sheetId="7" r:id="rId1"/>
  </sheets>
  <calcPr calcId="144525"/>
</workbook>
</file>

<file path=xl/calcChain.xml><?xml version="1.0" encoding="utf-8"?>
<calcChain xmlns="http://schemas.openxmlformats.org/spreadsheetml/2006/main">
  <c r="K70" i="7" l="1"/>
  <c r="I73" i="7"/>
  <c r="I68" i="7"/>
  <c r="I67" i="7"/>
  <c r="I66" i="7"/>
  <c r="I65" i="7"/>
  <c r="I62" i="7" l="1"/>
  <c r="K16" i="7"/>
  <c r="I46" i="7"/>
  <c r="I19" i="7"/>
  <c r="I17" i="7"/>
  <c r="K17" i="7" s="1"/>
  <c r="I15" i="7"/>
  <c r="I14" i="7"/>
  <c r="I13" i="7"/>
  <c r="I12" i="7"/>
  <c r="I11" i="7"/>
  <c r="K11" i="7" s="1"/>
  <c r="I21" i="7"/>
  <c r="I50" i="7"/>
  <c r="I43" i="7"/>
  <c r="I32" i="7"/>
  <c r="I36" i="7"/>
  <c r="I33" i="7"/>
  <c r="I31" i="7"/>
  <c r="I29" i="7"/>
  <c r="I28" i="7"/>
  <c r="K28" i="7" s="1"/>
  <c r="I27" i="7"/>
  <c r="I26" i="7"/>
  <c r="K26" i="7" s="1"/>
  <c r="I10" i="7"/>
  <c r="I8" i="7"/>
  <c r="H67" i="7"/>
  <c r="H65" i="7"/>
  <c r="H62" i="7"/>
  <c r="H68" i="7"/>
  <c r="H66" i="7"/>
  <c r="I69" i="7"/>
  <c r="I51" i="7"/>
  <c r="K51" i="7" s="1"/>
  <c r="I49" i="7"/>
  <c r="I24" i="7"/>
  <c r="K24" i="7" s="1"/>
  <c r="I9" i="7"/>
  <c r="H73" i="7"/>
  <c r="H69" i="7"/>
  <c r="I18" i="7" l="1"/>
  <c r="K18" i="7" s="1"/>
  <c r="K73" i="7"/>
  <c r="K69" i="7"/>
  <c r="K68" i="7"/>
  <c r="K67" i="7"/>
  <c r="K66" i="7"/>
  <c r="K65" i="7"/>
  <c r="I63" i="7"/>
  <c r="K63" i="7" s="1"/>
  <c r="K62" i="7"/>
  <c r="K54" i="7"/>
  <c r="K50" i="7"/>
  <c r="K49" i="7"/>
  <c r="K46" i="7"/>
  <c r="K43" i="7"/>
  <c r="I38" i="7"/>
  <c r="K38" i="7" s="1"/>
  <c r="I37" i="7"/>
  <c r="K37" i="7" s="1"/>
  <c r="K36" i="7"/>
  <c r="K35" i="7"/>
  <c r="I34" i="7"/>
  <c r="K34" i="7" s="1"/>
  <c r="K33" i="7"/>
  <c r="K32" i="7"/>
  <c r="K31" i="7"/>
  <c r="I30" i="7"/>
  <c r="K30" i="7" s="1"/>
  <c r="K29" i="7"/>
  <c r="K27" i="7"/>
  <c r="K21" i="7"/>
  <c r="K19" i="7"/>
  <c r="K15" i="7"/>
  <c r="K14" i="7"/>
  <c r="K13" i="7"/>
  <c r="K12" i="7"/>
  <c r="K10" i="7"/>
  <c r="K9" i="7"/>
  <c r="K8" i="7"/>
  <c r="K39" i="7" l="1"/>
  <c r="K22" i="7"/>
  <c r="K52" i="7"/>
  <c r="I39" i="7"/>
  <c r="I71" i="7" l="1"/>
  <c r="H64" i="7"/>
  <c r="I55" i="7"/>
  <c r="H55" i="7"/>
  <c r="I52" i="7"/>
  <c r="H52" i="7"/>
  <c r="I47" i="7"/>
  <c r="H47" i="7"/>
  <c r="I44" i="7"/>
  <c r="H44" i="7"/>
  <c r="K44" i="7"/>
  <c r="H39" i="7"/>
  <c r="H22" i="7"/>
  <c r="K55" i="7" l="1"/>
  <c r="H56" i="7"/>
  <c r="I22" i="7"/>
  <c r="K47" i="7"/>
  <c r="I64" i="7"/>
  <c r="I74" i="7" s="1"/>
  <c r="K56" i="7" l="1"/>
  <c r="I56" i="7"/>
  <c r="H71" i="7"/>
  <c r="H74" i="7" s="1"/>
  <c r="K71" i="7"/>
  <c r="K64" i="7"/>
  <c r="K74" i="7" l="1"/>
</calcChain>
</file>

<file path=xl/sharedStrings.xml><?xml version="1.0" encoding="utf-8"?>
<sst xmlns="http://schemas.openxmlformats.org/spreadsheetml/2006/main" count="151" uniqueCount="80">
  <si>
    <t>องค์การบริหารส่วนตำบลเมืองคง อำเภอคง จังหวัดนครราชสีมา</t>
  </si>
  <si>
    <t>รายการ</t>
  </si>
  <si>
    <t>รายรับ</t>
  </si>
  <si>
    <t>ภาษีโรงเรือนและที่ดิน</t>
  </si>
  <si>
    <t>ภาษีบำรุงท้องที่</t>
  </si>
  <si>
    <t>ภาษีป้าย</t>
  </si>
  <si>
    <t>ภาษีมูลค่าเพิ่มตาม พ.ร.บ. กำหนดแผนฯ</t>
  </si>
  <si>
    <t>ภาษีมูลค่าเพิ่ม 1 ใน 9</t>
  </si>
  <si>
    <t>ภาษีธุรกิจเฉพาะ</t>
  </si>
  <si>
    <t>ภาษีสุรา</t>
  </si>
  <si>
    <t>ภาษีสรรพสามิต</t>
  </si>
  <si>
    <t>ค่าภาคหลวงฯ ป่าไม้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</si>
  <si>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</si>
  <si>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</si>
  <si>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ค่าธรรมเนียมจดทะเบียนสิทธิและนิติกรรมที่ดิน</t>
  </si>
  <si>
    <t>ภาษียาสูบ</t>
  </si>
  <si>
    <t>ภาษีและค่าธรรมเนียมรถยนต์</t>
  </si>
  <si>
    <t>ประมาณการรายรับ</t>
  </si>
  <si>
    <t>รับจริง</t>
  </si>
  <si>
    <t>รวม</t>
  </si>
  <si>
    <t>หมวดภาษีอากร</t>
  </si>
  <si>
    <t>1.</t>
  </si>
  <si>
    <t>2.</t>
  </si>
  <si>
    <t>หมวดค่าธรรมเนียม ค่าปรับ และใบอนุญาต</t>
  </si>
  <si>
    <t>บัญชีรายละเอียดรายรับ-รายจ่ายจริง</t>
  </si>
  <si>
    <t>ค่าธรรมเนียมเกี่ยวกับใบอนุญาตการขายสุรา</t>
  </si>
  <si>
    <t>ค่าธรรมเนียมเกี่ยวกับใบอนุญาตการพนัน</t>
  </si>
  <si>
    <t>ค่าธรรมเนียมเกี่ยวกับการควบคุมอาคาร</t>
  </si>
  <si>
    <t>ค่าธรรมเนียมเก็บขนอุจจาระหรือสิ่งปฏิกูล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</si>
  <si>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</si>
  <si>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</si>
  <si>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</si>
  <si>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ค่าปรับการผิดสัญญา</t>
  </si>
  <si>
    <t>ค่าใบอนุญาตประกอบการค้าสำหรับกิจการที่เป็นอันตรายฯ</t>
  </si>
  <si>
    <t>ค่าใบอนุญาตจำหน่ายสินค้าในที่หรือทางสาธารณะ</t>
  </si>
  <si>
    <t>ค่าใบอนุญาตเกี่ยวกับการควบคุมอาคาร</t>
  </si>
  <si>
    <t>ค่าใบอนุญาตอื่น ๆ</t>
  </si>
  <si>
    <t>ค่าธรรมเนียมปิดป้ายประกาศฯ</t>
  </si>
  <si>
    <t>ค่าใบอนุญาตให้ตั้งตลาด (เอกชน)</t>
  </si>
  <si>
    <t xml:space="preserve">ก. </t>
  </si>
  <si>
    <t>3.</t>
  </si>
  <si>
    <t>ค่าดอกเบี้ยเงินฝากธนาคาร</t>
  </si>
  <si>
    <t>4.</t>
  </si>
  <si>
    <t>หมวดรายได้จากทรัพย์สิน</t>
  </si>
  <si>
    <t>หมวดเงินอุดหนุน</t>
  </si>
  <si>
    <t>เงินอุดหนุนทั่วไป</t>
  </si>
  <si>
    <t>5.</t>
  </si>
  <si>
    <t>หมวดรายได้เบ็ดเตล็ด</t>
  </si>
  <si>
    <t>ค่าขายแบบแปลน</t>
  </si>
  <si>
    <t>ค่ารับรองสำเนาและค่าถ่ายเอกสาร</t>
  </si>
  <si>
    <t>รายได้เบ็ดเตล็ดอื่น ๆ</t>
  </si>
  <si>
    <t>หมวดรายได้จากทุน</t>
  </si>
  <si>
    <t>6.</t>
  </si>
  <si>
    <t>ค่าขายทอดตลาดทรัพย์สิน</t>
  </si>
  <si>
    <t>รวมรายรับทั้งสิ้น</t>
  </si>
  <si>
    <t>รายจ่าย</t>
  </si>
  <si>
    <t>ก.</t>
  </si>
  <si>
    <t>รายจ่ายประจำ</t>
  </si>
  <si>
    <t>รายจ่ายงบกลาง</t>
  </si>
  <si>
    <t>รายจ่ายตามข้อผูกพัน</t>
  </si>
  <si>
    <t>เงินสำรองจ่าย</t>
  </si>
  <si>
    <t>หมวดเงินเดือนและค่าจ้างประจำ</t>
  </si>
  <si>
    <t>หมวดค่าจ้างชั่วคราว</t>
  </si>
  <si>
    <t>หมวดค่าตอบแทน ใช้สอยและวัสดุ</t>
  </si>
  <si>
    <t>หมวดค่าสาธารณูปโภค</t>
  </si>
  <si>
    <t>7.</t>
  </si>
  <si>
    <t>หมวดรายจ่ายอื่น</t>
  </si>
  <si>
    <t>ข.</t>
  </si>
  <si>
    <t>รายจ่ายเพื่อการพัฒนา</t>
  </si>
  <si>
    <t>หมวดค่าครุภัณฑ์ ที่ดิน และสิ่งก่อสร้าง</t>
  </si>
  <si>
    <t>รวมรายจ่ายทั้งสิ้น</t>
  </si>
  <si>
    <t>+ สูง/ - ต่ำ</t>
  </si>
  <si>
    <t>-</t>
  </si>
  <si>
    <t>+</t>
  </si>
  <si>
    <t>จ่ายจริง</t>
  </si>
  <si>
    <t>ประมาณการรายจ่าย</t>
  </si>
  <si>
    <t>*ดูแยกประเภท</t>
  </si>
  <si>
    <t>*คชส.ดูแยกประเภท</t>
  </si>
  <si>
    <t>ค่าใบอนุญาตจัดตั้งสถานที่จำหน่ายอาหารหรือสถานที่สะสมอาหารฯ</t>
  </si>
  <si>
    <t>ประจำปีงบประมาณ พ.ศ. 2560 (1 ตุลาคม 2559 - 30 กันยายน 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</si>
</sst>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sz val="10"/>
      <color rgb="FFC00000"/>
      <name val="TH SarabunPSK"/>
      <family val="2"/>
    </font>
    <font>
      <sz val="14"/>
      <name val="TH SarabunPSK"/>
      <family val="2"/>
    </font>
    <font>
      <i/>
      <sz val="13"/>
      <name val="TH SarabunPSK"/>
      <family val="2"/>
    </font>
    <font>
      <i/>
      <sz val="9"/>
      <color rgb="FF00B050"/>
      <name val="TH SarabunPSK"/>
      <family val="2"/>
    </font>
    <font>
      <i/>
      <sz val="10"/>
      <color rgb="FF00B050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87" fontId="4" fillId="0" borderId="0" xfId="0" applyNumberFormat="1" applyFont="1"/>
    <xf numFmtId="0" fontId="4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49" fontId="4" fillId="0" borderId="0" xfId="0" applyNumberFormat="1" applyFont="1" applyBorder="1" applyAlignment="1">
      <alignment horizontal="left"/>
    </xf>
    <xf numFmtId="187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/>
    <xf numFmtId="2" fontId="4" fillId="0" borderId="0" xfId="0" applyNumberFormat="1" applyFont="1" applyBorder="1"/>
    <xf numFmtId="187" fontId="3" fillId="0" borderId="0" xfId="0" applyNumberFormat="1" applyFont="1" applyBorder="1" applyAlignment="1">
      <alignment horizontal="left"/>
    </xf>
    <xf numFmtId="0" fontId="5" fillId="0" borderId="9" xfId="0" applyFont="1" applyBorder="1"/>
    <xf numFmtId="43" fontId="3" fillId="0" borderId="5" xfId="1" applyFont="1" applyBorder="1"/>
    <xf numFmtId="43" fontId="3" fillId="0" borderId="4" xfId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6" xfId="0" applyFont="1" applyBorder="1"/>
    <xf numFmtId="0" fontId="3" fillId="0" borderId="11" xfId="0" applyFont="1" applyBorder="1"/>
    <xf numFmtId="43" fontId="3" fillId="0" borderId="7" xfId="1" applyFont="1" applyBorder="1"/>
    <xf numFmtId="43" fontId="3" fillId="0" borderId="6" xfId="1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12" xfId="1" applyFont="1" applyBorder="1"/>
    <xf numFmtId="43" fontId="3" fillId="0" borderId="12" xfId="0" applyNumberFormat="1" applyFont="1" applyBorder="1"/>
    <xf numFmtId="43" fontId="4" fillId="0" borderId="14" xfId="1" applyFont="1" applyBorder="1"/>
    <xf numFmtId="43" fontId="4" fillId="0" borderId="15" xfId="1" applyFont="1" applyBorder="1"/>
    <xf numFmtId="0" fontId="4" fillId="0" borderId="14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4" xfId="1" applyFont="1" applyBorder="1"/>
    <xf numFmtId="43" fontId="4" fillId="0" borderId="12" xfId="0" applyNumberFormat="1" applyFont="1" applyBorder="1"/>
    <xf numFmtId="43" fontId="7" fillId="0" borderId="5" xfId="1" applyFont="1" applyBorder="1"/>
    <xf numFmtId="43" fontId="3" fillId="0" borderId="0" xfId="1" applyFont="1" applyBorder="1"/>
    <xf numFmtId="0" fontId="3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Border="1"/>
    <xf numFmtId="43" fontId="7" fillId="0" borderId="8" xfId="1" applyFont="1" applyBorder="1"/>
    <xf numFmtId="43" fontId="7" fillId="0" borderId="8" xfId="0" applyNumberFormat="1" applyFont="1" applyBorder="1"/>
    <xf numFmtId="0" fontId="2" fillId="0" borderId="1" xfId="0" applyFont="1" applyBorder="1" applyAlignment="1">
      <alignment horizontal="center"/>
    </xf>
    <xf numFmtId="43" fontId="3" fillId="0" borderId="5" xfId="1" applyFont="1" applyFill="1" applyBorder="1"/>
    <xf numFmtId="0" fontId="2" fillId="0" borderId="1" xfId="0" applyFont="1" applyBorder="1" applyAlignment="1">
      <alignment horizontal="center"/>
    </xf>
    <xf numFmtId="43" fontId="3" fillId="0" borderId="0" xfId="0" applyNumberFormat="1" applyFont="1" applyBorder="1"/>
    <xf numFmtId="0" fontId="8" fillId="0" borderId="0" xfId="0" applyFont="1"/>
    <xf numFmtId="43" fontId="10" fillId="3" borderId="5" xfId="1" applyFont="1" applyFill="1" applyBorder="1"/>
    <xf numFmtId="0" fontId="11" fillId="0" borderId="0" xfId="0" applyFont="1"/>
    <xf numFmtId="0" fontId="13" fillId="0" borderId="0" xfId="0" applyFont="1" applyBorder="1"/>
    <xf numFmtId="43" fontId="7" fillId="2" borderId="5" xfId="1" applyFont="1" applyFill="1" applyBorder="1"/>
    <xf numFmtId="43" fontId="3" fillId="2" borderId="5" xfId="1" applyFont="1" applyFill="1" applyBorder="1"/>
    <xf numFmtId="43" fontId="7" fillId="2" borderId="7" xfId="1" applyFont="1" applyFill="1" applyBorder="1"/>
    <xf numFmtId="43" fontId="7" fillId="2" borderId="18" xfId="1" applyFont="1" applyFill="1" applyBorder="1"/>
    <xf numFmtId="43" fontId="7" fillId="3" borderId="5" xfId="1" applyFont="1" applyFill="1" applyBorder="1"/>
    <xf numFmtId="0" fontId="1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topLeftCell="A46" workbookViewId="0">
      <selection activeCell="I54" sqref="I54"/>
    </sheetView>
  </sheetViews>
  <sheetFormatPr defaultRowHeight="20.25"/>
  <cols>
    <col min="1" max="2" width="3.375" style="1" customWidth="1"/>
    <col min="3" max="3" width="5.5" style="1" customWidth="1"/>
    <col min="4" max="6" width="9" style="1"/>
    <col min="7" max="7" width="7.5" style="1" customWidth="1"/>
    <col min="8" max="8" width="20.375" style="1" bestFit="1" customWidth="1"/>
    <col min="9" max="9" width="42.75" style="1" bestFit="1" customWidth="1"/>
    <col min="10" max="10" width="3.625" style="1" customWidth="1"/>
    <col min="11" max="11" width="14.625" style="1" customWidth="1"/>
    <col min="12" max="16384" width="9" style="1"/>
  </cols>
  <sheetData>
    <row r="1" spans="1:11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67" t="s">
        <v>79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>
      <c r="A4" s="61" t="s">
        <v>1</v>
      </c>
      <c r="B4" s="62"/>
      <c r="C4" s="62"/>
      <c r="D4" s="62"/>
      <c r="E4" s="62"/>
      <c r="F4" s="62"/>
      <c r="G4" s="66"/>
      <c r="H4" s="47" t="s">
        <v>17</v>
      </c>
      <c r="I4" s="47" t="s">
        <v>18</v>
      </c>
      <c r="J4" s="63" t="s">
        <v>71</v>
      </c>
      <c r="K4" s="64"/>
    </row>
    <row r="5" spans="1:11" ht="20.25" customHeight="1">
      <c r="A5" s="21" t="s">
        <v>2</v>
      </c>
      <c r="B5" s="26"/>
      <c r="C5" s="11"/>
      <c r="D5" s="11"/>
      <c r="E5" s="11"/>
      <c r="F5" s="11"/>
      <c r="G5" s="11"/>
      <c r="H5" s="27"/>
      <c r="I5" s="9"/>
      <c r="J5" s="24"/>
      <c r="K5" s="25"/>
    </row>
    <row r="6" spans="1:11" ht="20.25" customHeight="1">
      <c r="A6" s="9" t="s">
        <v>39</v>
      </c>
      <c r="B6" s="11" t="s">
        <v>2</v>
      </c>
      <c r="C6" s="11"/>
      <c r="D6" s="11"/>
      <c r="E6" s="11"/>
      <c r="F6" s="11"/>
      <c r="G6" s="11"/>
      <c r="H6" s="10"/>
      <c r="I6" s="9"/>
      <c r="J6" s="9"/>
      <c r="K6" s="12"/>
    </row>
    <row r="7" spans="1:11" ht="20.25" customHeight="1">
      <c r="A7" s="9"/>
      <c r="B7" s="13" t="s">
        <v>21</v>
      </c>
      <c r="C7" s="14" t="s">
        <v>20</v>
      </c>
      <c r="D7" s="15"/>
      <c r="E7" s="11"/>
      <c r="F7" s="11"/>
      <c r="G7" s="11"/>
      <c r="H7" s="10"/>
      <c r="I7" s="9"/>
      <c r="J7" s="9"/>
      <c r="K7" s="12"/>
    </row>
    <row r="8" spans="1:11" ht="20.25" customHeight="1">
      <c r="A8" s="9"/>
      <c r="B8" s="11"/>
      <c r="C8" s="16">
        <v>1.1000000000000001</v>
      </c>
      <c r="D8" s="11" t="s">
        <v>3</v>
      </c>
      <c r="E8" s="11"/>
      <c r="F8" s="11"/>
      <c r="G8" s="11"/>
      <c r="H8" s="28">
        <v>280000</v>
      </c>
      <c r="I8" s="56">
        <f>37208+53379.5+143016.5+51779.25+30990+78.75+8800+10992</f>
        <v>336244</v>
      </c>
      <c r="J8" s="30" t="s">
        <v>73</v>
      </c>
      <c r="K8" s="45">
        <f>+I8-H8</f>
        <v>56244</v>
      </c>
    </row>
    <row r="9" spans="1:11" ht="20.25" customHeight="1">
      <c r="A9" s="9"/>
      <c r="B9" s="11"/>
      <c r="C9" s="16">
        <v>1.2</v>
      </c>
      <c r="D9" s="11" t="s">
        <v>4</v>
      </c>
      <c r="E9" s="11"/>
      <c r="F9" s="11"/>
      <c r="G9" s="11"/>
      <c r="H9" s="28">
        <v>90000</v>
      </c>
      <c r="I9" s="56">
        <f>2289.23+15914.34+45102.96+9628.2+4403.38+859.47+307.49+1485.3</f>
        <v>79990.37000000001</v>
      </c>
      <c r="J9" s="30" t="s">
        <v>72</v>
      </c>
      <c r="K9" s="45">
        <f>+H9-I9</f>
        <v>10009.62999999999</v>
      </c>
    </row>
    <row r="10" spans="1:11" ht="20.25" customHeight="1">
      <c r="A10" s="9"/>
      <c r="B10" s="11"/>
      <c r="C10" s="16">
        <v>1.3</v>
      </c>
      <c r="D10" s="11" t="s">
        <v>5</v>
      </c>
      <c r="E10" s="11"/>
      <c r="F10" s="11"/>
      <c r="G10" s="11"/>
      <c r="H10" s="28">
        <v>35000</v>
      </c>
      <c r="I10" s="56">
        <f>3680+6068+27608.5+15089.75+5297+1996.5+2293.75+360</f>
        <v>62393.5</v>
      </c>
      <c r="J10" s="30" t="s">
        <v>73</v>
      </c>
      <c r="K10" s="45">
        <f>+I10-H10</f>
        <v>27393.5</v>
      </c>
    </row>
    <row r="11" spans="1:11" ht="20.25" customHeight="1">
      <c r="A11" s="9"/>
      <c r="B11" s="11"/>
      <c r="C11" s="16">
        <v>1.4</v>
      </c>
      <c r="D11" s="11" t="s">
        <v>6</v>
      </c>
      <c r="E11" s="11"/>
      <c r="F11" s="11"/>
      <c r="G11" s="11"/>
      <c r="H11" s="28">
        <v>8087000</v>
      </c>
      <c r="I11" s="55">
        <f>737082.76+646517.38+685312.76+732093.52+1433098.85+819941.15+671613.33+776418.68+857871.39+1549782.59</f>
        <v>8909732.4100000001</v>
      </c>
      <c r="J11" s="30" t="s">
        <v>73</v>
      </c>
      <c r="K11" s="45">
        <f>+I11-H11</f>
        <v>822732.41000000015</v>
      </c>
    </row>
    <row r="12" spans="1:11" ht="20.25" customHeight="1">
      <c r="A12" s="9"/>
      <c r="B12" s="11"/>
      <c r="C12" s="16">
        <v>1.5</v>
      </c>
      <c r="D12" s="11" t="s">
        <v>7</v>
      </c>
      <c r="E12" s="11"/>
      <c r="F12" s="11"/>
      <c r="G12" s="11"/>
      <c r="H12" s="28">
        <v>4000000</v>
      </c>
      <c r="I12" s="55">
        <f>409659.1+131530.73+270617.26+348462.35+442142.57+183616.45+622407.8+378459.83+272309.6+296474.43+387717.5</f>
        <v>3743397.62</v>
      </c>
      <c r="J12" s="30" t="s">
        <v>72</v>
      </c>
      <c r="K12" s="45">
        <f t="shared" ref="K12:K19" si="0">+H12-I12</f>
        <v>256602.37999999989</v>
      </c>
    </row>
    <row r="13" spans="1:11" ht="20.25" customHeight="1">
      <c r="A13" s="9"/>
      <c r="B13" s="11"/>
      <c r="C13" s="16">
        <v>1.6</v>
      </c>
      <c r="D13" s="11" t="s">
        <v>8</v>
      </c>
      <c r="E13" s="11"/>
      <c r="F13" s="11"/>
      <c r="G13" s="11"/>
      <c r="H13" s="28">
        <v>260000</v>
      </c>
      <c r="I13" s="55">
        <f>20255.1+18200.79+14534.07+20363.39+11708.43+12651.84+17510.21+12319.68+17077.38+17634.66+32829.78</f>
        <v>195085.33</v>
      </c>
      <c r="J13" s="30" t="s">
        <v>72</v>
      </c>
      <c r="K13" s="45">
        <f t="shared" si="0"/>
        <v>64914.670000000013</v>
      </c>
    </row>
    <row r="14" spans="1:11" ht="20.25" customHeight="1">
      <c r="A14" s="9"/>
      <c r="B14" s="11"/>
      <c r="C14" s="16">
        <v>1.7</v>
      </c>
      <c r="D14" s="11" t="s">
        <v>9</v>
      </c>
      <c r="E14" s="11"/>
      <c r="F14" s="11"/>
      <c r="G14" s="11"/>
      <c r="H14" s="28">
        <v>2000000</v>
      </c>
      <c r="I14" s="55">
        <f>139444.95+113274.72+131237.93+187617.97+123549.46+153549.59+333593.1+134113.99+154700.83+141422.76+167826.62</f>
        <v>1780331.92</v>
      </c>
      <c r="J14" s="30" t="s">
        <v>72</v>
      </c>
      <c r="K14" s="45">
        <f t="shared" si="0"/>
        <v>219668.08000000007</v>
      </c>
    </row>
    <row r="15" spans="1:11" ht="20.25" customHeight="1">
      <c r="A15" s="9"/>
      <c r="B15" s="11"/>
      <c r="C15" s="16">
        <v>1.8</v>
      </c>
      <c r="D15" s="11" t="s">
        <v>10</v>
      </c>
      <c r="E15" s="11"/>
      <c r="F15" s="11"/>
      <c r="G15" s="11"/>
      <c r="H15" s="28">
        <v>3150000</v>
      </c>
      <c r="I15" s="55">
        <f>388926.45+279297.59+305638.24+389707.81+306853.83+361570.74+785817.4+361248.96+405938.33+344804.13+360586.94</f>
        <v>4290390.42</v>
      </c>
      <c r="J15" s="30" t="s">
        <v>73</v>
      </c>
      <c r="K15" s="45">
        <f>+I15-H15</f>
        <v>1140390.42</v>
      </c>
    </row>
    <row r="16" spans="1:11" ht="20.25" customHeight="1">
      <c r="A16" s="9"/>
      <c r="B16" s="11"/>
      <c r="C16" s="16">
        <v>1.9</v>
      </c>
      <c r="D16" s="11" t="s">
        <v>11</v>
      </c>
      <c r="E16" s="11"/>
      <c r="F16" s="11"/>
      <c r="G16" s="11"/>
      <c r="H16" s="28">
        <v>3000</v>
      </c>
      <c r="I16" s="40">
        <v>3002</v>
      </c>
      <c r="J16" s="30" t="s">
        <v>73</v>
      </c>
      <c r="K16" s="45">
        <f>+I16-H16</f>
        <v>2</v>
      </c>
    </row>
    <row r="17" spans="1:11" ht="20.25" customHeight="1">
      <c r="A17" s="9"/>
      <c r="B17" s="11"/>
      <c r="C17" s="17">
        <v>1.1000000000000001</v>
      </c>
      <c r="D17" s="11" t="s">
        <v>12</v>
      </c>
      <c r="E17" s="11"/>
      <c r="F17" s="11"/>
      <c r="G17" s="11"/>
      <c r="H17" s="28">
        <v>100000</v>
      </c>
      <c r="I17" s="55">
        <f>26700.96+30642.63+26532.86+26064.24</f>
        <v>109940.69</v>
      </c>
      <c r="J17" s="30" t="s">
        <v>73</v>
      </c>
      <c r="K17" s="45">
        <f>+I17-H17</f>
        <v>9940.6900000000023</v>
      </c>
    </row>
    <row r="18" spans="1:11" ht="20.25" customHeight="1">
      <c r="A18" s="9"/>
      <c r="B18" s="11"/>
      <c r="C18" s="17">
        <v>1.1100000000000001</v>
      </c>
      <c r="D18" s="11" t="s">
        <v>13</v>
      </c>
      <c r="E18" s="11"/>
      <c r="F18" s="11"/>
      <c r="G18" s="11"/>
      <c r="H18" s="28">
        <v>100000</v>
      </c>
      <c r="I18" s="55">
        <f>13259.34+12396.11+14396.23+15510.23</f>
        <v>55561.91</v>
      </c>
      <c r="J18" s="30" t="s">
        <v>72</v>
      </c>
      <c r="K18" s="45">
        <f t="shared" si="0"/>
        <v>44438.09</v>
      </c>
    </row>
    <row r="19" spans="1:11" ht="20.25" customHeight="1">
      <c r="A19" s="9"/>
      <c r="B19" s="11"/>
      <c r="C19" s="17">
        <v>1.1200000000000001</v>
      </c>
      <c r="D19" s="11" t="s">
        <v>14</v>
      </c>
      <c r="E19" s="11"/>
      <c r="F19" s="11"/>
      <c r="G19" s="11"/>
      <c r="H19" s="28">
        <v>1768000</v>
      </c>
      <c r="I19" s="55">
        <f>280240+84113+88453+64324+38043+47789+74864+168744+99802+74119+52208</f>
        <v>1072699</v>
      </c>
      <c r="J19" s="30" t="s">
        <v>72</v>
      </c>
      <c r="K19" s="45">
        <f t="shared" si="0"/>
        <v>695301</v>
      </c>
    </row>
    <row r="20" spans="1:11" ht="20.25" customHeight="1">
      <c r="A20" s="9"/>
      <c r="B20" s="11"/>
      <c r="C20" s="17">
        <v>1.1299999999999999</v>
      </c>
      <c r="D20" s="11" t="s">
        <v>15</v>
      </c>
      <c r="E20" s="11"/>
      <c r="F20" s="11"/>
      <c r="G20" s="11"/>
      <c r="H20" s="28">
        <v>0</v>
      </c>
      <c r="I20" s="56">
        <v>0</v>
      </c>
      <c r="J20" s="30"/>
      <c r="K20" s="45">
        <v>0</v>
      </c>
    </row>
    <row r="21" spans="1:11" ht="20.25" customHeight="1">
      <c r="A21" s="9"/>
      <c r="B21" s="11"/>
      <c r="C21" s="17">
        <v>1.1399999999999999</v>
      </c>
      <c r="D21" s="11" t="s">
        <v>16</v>
      </c>
      <c r="E21" s="11"/>
      <c r="F21" s="11"/>
      <c r="G21" s="11"/>
      <c r="H21" s="28">
        <v>605000</v>
      </c>
      <c r="I21" s="56">
        <f>96479.94+110955.08+40573.03+29485.63+43052.76+116612.03</f>
        <v>437158.47</v>
      </c>
      <c r="J21" s="30" t="s">
        <v>72</v>
      </c>
      <c r="K21" s="45">
        <f>+H21-I21</f>
        <v>167841.53000000003</v>
      </c>
    </row>
    <row r="22" spans="1:11" ht="20.25" customHeight="1" thickBot="1">
      <c r="A22" s="9"/>
      <c r="B22" s="11"/>
      <c r="C22" s="18"/>
      <c r="D22" s="11"/>
      <c r="E22" s="11" t="s">
        <v>19</v>
      </c>
      <c r="F22" s="11"/>
      <c r="G22" s="11"/>
      <c r="H22" s="29">
        <f>SUM(H8:H21)</f>
        <v>20478000</v>
      </c>
      <c r="I22" s="23">
        <f>SUM(I8:I21)</f>
        <v>21075927.640000001</v>
      </c>
      <c r="J22" s="31" t="s">
        <v>73</v>
      </c>
      <c r="K22" s="32">
        <f>+K8+K10+K11+K15+K16+K17-K9-K12-K13-K14-K18-K19-K21</f>
        <v>597927.64000000013</v>
      </c>
    </row>
    <row r="23" spans="1:11" ht="20.25" customHeight="1" thickTop="1">
      <c r="A23" s="9"/>
      <c r="B23" s="13" t="s">
        <v>22</v>
      </c>
      <c r="C23" s="19" t="s">
        <v>23</v>
      </c>
      <c r="D23" s="15"/>
      <c r="E23" s="15"/>
      <c r="F23" s="15"/>
      <c r="G23" s="11"/>
      <c r="H23" s="28"/>
      <c r="I23" s="9"/>
      <c r="J23" s="9"/>
      <c r="K23" s="12"/>
    </row>
    <row r="24" spans="1:11" ht="20.25" customHeight="1">
      <c r="A24" s="9"/>
      <c r="B24" s="11"/>
      <c r="C24" s="20">
        <v>2.1</v>
      </c>
      <c r="D24" s="11" t="s">
        <v>25</v>
      </c>
      <c r="E24" s="11"/>
      <c r="F24" s="11"/>
      <c r="G24" s="11"/>
      <c r="H24" s="28">
        <v>1600</v>
      </c>
      <c r="I24" s="55">
        <f>737.2+737.2+116.4+19.4+19.4</f>
        <v>1629.6000000000004</v>
      </c>
      <c r="J24" s="30" t="s">
        <v>73</v>
      </c>
      <c r="K24" s="45">
        <f>+I24-H24</f>
        <v>29.600000000000364</v>
      </c>
    </row>
    <row r="25" spans="1:11" ht="20.25" customHeight="1">
      <c r="A25" s="9"/>
      <c r="B25" s="11"/>
      <c r="C25" s="20">
        <v>2.2000000000000002</v>
      </c>
      <c r="D25" s="11" t="s">
        <v>26</v>
      </c>
      <c r="E25" s="11"/>
      <c r="F25" s="11"/>
      <c r="G25" s="11"/>
      <c r="H25" s="28">
        <v>0</v>
      </c>
      <c r="I25" s="40">
        <v>0</v>
      </c>
      <c r="J25" s="30"/>
      <c r="K25" s="45">
        <v>0</v>
      </c>
    </row>
    <row r="26" spans="1:11" ht="20.25" customHeight="1">
      <c r="A26" s="9"/>
      <c r="B26" s="11"/>
      <c r="C26" s="20">
        <v>2.2999999999999998</v>
      </c>
      <c r="D26" s="11" t="s">
        <v>27</v>
      </c>
      <c r="E26" s="11"/>
      <c r="F26" s="11"/>
      <c r="G26" s="11"/>
      <c r="H26" s="28">
        <v>3000</v>
      </c>
      <c r="I26" s="55">
        <f>318+178+503+198+369+271+248+147+187+574+207.5</f>
        <v>3200.5</v>
      </c>
      <c r="J26" s="30" t="s">
        <v>73</v>
      </c>
      <c r="K26" s="45">
        <f>+I26-H26</f>
        <v>200.5</v>
      </c>
    </row>
    <row r="27" spans="1:11" ht="20.25" customHeight="1">
      <c r="A27" s="9"/>
      <c r="B27" s="11"/>
      <c r="C27" s="20">
        <v>2.4</v>
      </c>
      <c r="D27" s="11" t="s">
        <v>28</v>
      </c>
      <c r="E27" s="11"/>
      <c r="F27" s="11"/>
      <c r="G27" s="11"/>
      <c r="H27" s="28">
        <v>3000</v>
      </c>
      <c r="I27" s="55">
        <f>3000+3000+3000</f>
        <v>9000</v>
      </c>
      <c r="J27" s="30" t="s">
        <v>73</v>
      </c>
      <c r="K27" s="45">
        <f>+I27-H27</f>
        <v>6000</v>
      </c>
    </row>
    <row r="28" spans="1:11" ht="20.25" customHeight="1">
      <c r="A28" s="9"/>
      <c r="B28" s="11"/>
      <c r="C28" s="20">
        <v>2.5</v>
      </c>
      <c r="D28" s="11" t="s">
        <v>37</v>
      </c>
      <c r="E28" s="11"/>
      <c r="F28" s="11"/>
      <c r="G28" s="11"/>
      <c r="H28" s="28">
        <v>200</v>
      </c>
      <c r="I28" s="55">
        <f>40+30+40+20+10+20+20+10+10+50+20</f>
        <v>270</v>
      </c>
      <c r="J28" s="30" t="s">
        <v>73</v>
      </c>
      <c r="K28" s="45">
        <f>+I28-H28</f>
        <v>70</v>
      </c>
    </row>
    <row r="29" spans="1:11" ht="20.25" customHeight="1">
      <c r="A29" s="9"/>
      <c r="B29" s="11"/>
      <c r="C29" s="20">
        <v>2.6</v>
      </c>
      <c r="D29" s="11" t="s">
        <v>29</v>
      </c>
      <c r="E29" s="11"/>
      <c r="F29" s="11"/>
      <c r="G29" s="11"/>
      <c r="H29" s="28">
        <v>1000</v>
      </c>
      <c r="I29" s="55">
        <f>120+100+290+120+70+100+100+200+50+50</f>
        <v>1200</v>
      </c>
      <c r="J29" s="30" t="s">
        <v>73</v>
      </c>
      <c r="K29" s="45">
        <f t="shared" ref="K29:K34" si="1">+I29-H29</f>
        <v>200</v>
      </c>
    </row>
    <row r="30" spans="1:11" ht="20.25" customHeight="1">
      <c r="A30" s="9"/>
      <c r="B30" s="11"/>
      <c r="C30" s="20">
        <v>2.7</v>
      </c>
      <c r="D30" s="11" t="s">
        <v>30</v>
      </c>
      <c r="E30" s="11"/>
      <c r="F30" s="11"/>
      <c r="G30" s="11"/>
      <c r="H30" s="28">
        <v>700</v>
      </c>
      <c r="I30" s="55">
        <f>10+4726+10+10+10</f>
        <v>4766</v>
      </c>
      <c r="J30" s="30" t="s">
        <v>73</v>
      </c>
      <c r="K30" s="45">
        <f t="shared" si="1"/>
        <v>4066</v>
      </c>
    </row>
    <row r="31" spans="1:11" ht="20.25" customHeight="1">
      <c r="A31" s="9"/>
      <c r="B31" s="11"/>
      <c r="C31" s="20">
        <v>2.8</v>
      </c>
      <c r="D31" s="11" t="s">
        <v>31</v>
      </c>
      <c r="E31" s="11"/>
      <c r="F31" s="11"/>
      <c r="G31" s="11"/>
      <c r="H31" s="28">
        <v>1000</v>
      </c>
      <c r="I31" s="55">
        <f>800+400+400+600+2300+800+400</f>
        <v>5700</v>
      </c>
      <c r="J31" s="30" t="s">
        <v>73</v>
      </c>
      <c r="K31" s="45">
        <f t="shared" si="1"/>
        <v>4700</v>
      </c>
    </row>
    <row r="32" spans="1:11" ht="20.25" customHeight="1">
      <c r="A32" s="9"/>
      <c r="B32" s="11"/>
      <c r="C32" s="20">
        <v>2.9</v>
      </c>
      <c r="D32" s="11" t="s">
        <v>32</v>
      </c>
      <c r="E32" s="11"/>
      <c r="F32" s="11"/>
      <c r="G32" s="11"/>
      <c r="H32" s="28">
        <v>100000</v>
      </c>
      <c r="I32" s="55">
        <f>232342+17514+47820+1432</f>
        <v>299108</v>
      </c>
      <c r="J32" s="30" t="s">
        <v>73</v>
      </c>
      <c r="K32" s="45">
        <f t="shared" si="1"/>
        <v>199108</v>
      </c>
    </row>
    <row r="33" spans="1:11" ht="20.25" customHeight="1">
      <c r="A33" s="9"/>
      <c r="B33" s="11"/>
      <c r="C33" s="17">
        <v>2.1</v>
      </c>
      <c r="D33" s="11" t="s">
        <v>33</v>
      </c>
      <c r="E33" s="11"/>
      <c r="F33" s="11"/>
      <c r="G33" s="11"/>
      <c r="H33" s="28">
        <v>20000</v>
      </c>
      <c r="I33" s="55">
        <f>1000+4600+9700+13700+8800+8880+3000+100+14660</f>
        <v>64440</v>
      </c>
      <c r="J33" s="30" t="s">
        <v>73</v>
      </c>
      <c r="K33" s="45">
        <f t="shared" si="1"/>
        <v>44440</v>
      </c>
    </row>
    <row r="34" spans="1:11" ht="20.25" customHeight="1">
      <c r="A34" s="9"/>
      <c r="B34" s="11"/>
      <c r="C34" s="17">
        <v>2.11</v>
      </c>
      <c r="D34" s="11" t="s">
        <v>34</v>
      </c>
      <c r="E34" s="11"/>
      <c r="F34" s="11"/>
      <c r="G34" s="11"/>
      <c r="H34" s="28">
        <v>2200</v>
      </c>
      <c r="I34" s="55">
        <f>300+300+300+1500+1500+600+300</f>
        <v>4800</v>
      </c>
      <c r="J34" s="30" t="s">
        <v>73</v>
      </c>
      <c r="K34" s="45">
        <f t="shared" si="1"/>
        <v>2600</v>
      </c>
    </row>
    <row r="35" spans="1:11" ht="20.25" customHeight="1">
      <c r="A35" s="9"/>
      <c r="B35" s="11"/>
      <c r="C35" s="17">
        <v>2.12</v>
      </c>
      <c r="D35" s="11" t="s">
        <v>38</v>
      </c>
      <c r="E35" s="11"/>
      <c r="F35" s="11"/>
      <c r="G35" s="11"/>
      <c r="H35" s="28">
        <v>2000</v>
      </c>
      <c r="I35" s="55">
        <v>2000</v>
      </c>
      <c r="J35" s="30"/>
      <c r="K35" s="45">
        <f t="shared" ref="K35:K36" si="2">+H35-I35</f>
        <v>0</v>
      </c>
    </row>
    <row r="36" spans="1:11" ht="20.25" customHeight="1">
      <c r="A36" s="9"/>
      <c r="B36" s="11"/>
      <c r="C36" s="17">
        <v>2.13</v>
      </c>
      <c r="D36" s="11" t="s">
        <v>35</v>
      </c>
      <c r="E36" s="11"/>
      <c r="F36" s="11"/>
      <c r="G36" s="11"/>
      <c r="H36" s="28">
        <v>1500</v>
      </c>
      <c r="I36" s="55">
        <f>100+100+120+100+190+140+130+110+100+140+120</f>
        <v>1350</v>
      </c>
      <c r="J36" s="30" t="s">
        <v>72</v>
      </c>
      <c r="K36" s="45">
        <f t="shared" si="2"/>
        <v>150</v>
      </c>
    </row>
    <row r="37" spans="1:11" ht="20.25" customHeight="1">
      <c r="A37" s="9"/>
      <c r="B37" s="11"/>
      <c r="C37" s="17">
        <v>2.14</v>
      </c>
      <c r="D37" s="11" t="s">
        <v>36</v>
      </c>
      <c r="E37" s="11"/>
      <c r="F37" s="11"/>
      <c r="G37" s="11"/>
      <c r="H37" s="28">
        <v>800</v>
      </c>
      <c r="I37" s="55">
        <f>500+760+500+500</f>
        <v>2260</v>
      </c>
      <c r="J37" s="30" t="s">
        <v>73</v>
      </c>
      <c r="K37" s="45">
        <f>+I37-H37</f>
        <v>1460</v>
      </c>
    </row>
    <row r="38" spans="1:11" ht="20.25" customHeight="1">
      <c r="A38" s="9"/>
      <c r="B38" s="11"/>
      <c r="C38" s="17">
        <v>2.15</v>
      </c>
      <c r="D38" s="54" t="s">
        <v>78</v>
      </c>
      <c r="E38" s="11"/>
      <c r="F38" s="11"/>
      <c r="G38" s="11"/>
      <c r="H38" s="28"/>
      <c r="I38" s="55">
        <f>300+2700+6600+900</f>
        <v>10500</v>
      </c>
      <c r="J38" s="30" t="s">
        <v>73</v>
      </c>
      <c r="K38" s="45">
        <f>+I38-H38</f>
        <v>10500</v>
      </c>
    </row>
    <row r="39" spans="1:11" ht="20.25" customHeight="1" thickBot="1">
      <c r="A39" s="9"/>
      <c r="B39" s="11"/>
      <c r="C39" s="17"/>
      <c r="D39" s="11"/>
      <c r="E39" s="11" t="s">
        <v>19</v>
      </c>
      <c r="F39" s="11"/>
      <c r="G39" s="11"/>
      <c r="H39" s="29">
        <f>SUM(H24:H37)</f>
        <v>137000</v>
      </c>
      <c r="I39" s="23">
        <f>SUM(I24:I38)</f>
        <v>410224.1</v>
      </c>
      <c r="J39" s="31" t="s">
        <v>73</v>
      </c>
      <c r="K39" s="32">
        <f>+K24+K27+K28+K29+K30+K31+K32+K33+K34+K37+K38+K26-K36</f>
        <v>273224.09999999998</v>
      </c>
    </row>
    <row r="40" spans="1:11" s="44" customFormat="1" ht="13.5" customHeight="1" thickTop="1">
      <c r="A40" s="11"/>
      <c r="B40" s="11"/>
      <c r="C40" s="17"/>
      <c r="D40" s="11"/>
      <c r="E40" s="11"/>
      <c r="F40" s="11"/>
      <c r="G40" s="11"/>
      <c r="H40" s="41"/>
      <c r="I40" s="41"/>
      <c r="J40" s="42"/>
      <c r="K40" s="41"/>
    </row>
    <row r="41" spans="1:11">
      <c r="A41" s="61" t="s">
        <v>1</v>
      </c>
      <c r="B41" s="62"/>
      <c r="C41" s="62"/>
      <c r="D41" s="62"/>
      <c r="E41" s="62"/>
      <c r="F41" s="62"/>
      <c r="G41" s="62"/>
      <c r="H41" s="49" t="s">
        <v>17</v>
      </c>
      <c r="I41" s="49" t="s">
        <v>18</v>
      </c>
      <c r="J41" s="63" t="s">
        <v>71</v>
      </c>
      <c r="K41" s="64"/>
    </row>
    <row r="42" spans="1:11" ht="20.25" customHeight="1">
      <c r="A42" s="9"/>
      <c r="B42" s="13" t="s">
        <v>40</v>
      </c>
      <c r="C42" s="15" t="s">
        <v>43</v>
      </c>
      <c r="D42" s="15"/>
      <c r="E42" s="11"/>
      <c r="F42" s="11"/>
      <c r="G42" s="11"/>
      <c r="H42" s="9"/>
      <c r="I42" s="9"/>
      <c r="J42" s="24"/>
      <c r="K42" s="25"/>
    </row>
    <row r="43" spans="1:11" ht="20.25" customHeight="1">
      <c r="A43" s="9"/>
      <c r="B43" s="11"/>
      <c r="C43" s="16">
        <v>3.1</v>
      </c>
      <c r="D43" s="11" t="s">
        <v>41</v>
      </c>
      <c r="E43" s="11"/>
      <c r="F43" s="11"/>
      <c r="G43" s="11"/>
      <c r="H43" s="22">
        <v>495000</v>
      </c>
      <c r="I43" s="55">
        <f>1558+112016.83+7152.66+1586.48+100717.67+5961.27+10374.71</f>
        <v>239367.62</v>
      </c>
      <c r="J43" s="30" t="s">
        <v>72</v>
      </c>
      <c r="K43" s="45">
        <f>+H43-I43</f>
        <v>255632.38</v>
      </c>
    </row>
    <row r="44" spans="1:11" ht="20.25" customHeight="1" thickBot="1">
      <c r="A44" s="9"/>
      <c r="B44" s="11"/>
      <c r="C44" s="11"/>
      <c r="D44" s="11"/>
      <c r="E44" s="11" t="s">
        <v>19</v>
      </c>
      <c r="F44" s="11"/>
      <c r="G44" s="11"/>
      <c r="H44" s="23">
        <f>SUM(H43)</f>
        <v>495000</v>
      </c>
      <c r="I44" s="23">
        <f>SUM(I43)</f>
        <v>239367.62</v>
      </c>
      <c r="J44" s="31" t="s">
        <v>72</v>
      </c>
      <c r="K44" s="32">
        <f>SUM(K43)</f>
        <v>255632.38</v>
      </c>
    </row>
    <row r="45" spans="1:11" ht="20.25" customHeight="1" thickTop="1">
      <c r="A45" s="9"/>
      <c r="B45" s="13" t="s">
        <v>42</v>
      </c>
      <c r="C45" s="15" t="s">
        <v>44</v>
      </c>
      <c r="D45" s="15"/>
      <c r="E45" s="11"/>
      <c r="F45" s="11"/>
      <c r="G45" s="11"/>
      <c r="H45" s="9"/>
      <c r="I45" s="9"/>
      <c r="J45" s="9"/>
      <c r="K45" s="12"/>
    </row>
    <row r="46" spans="1:11" ht="20.25" customHeight="1">
      <c r="A46" s="9"/>
      <c r="B46" s="11"/>
      <c r="C46" s="16">
        <v>4.0999999999999996</v>
      </c>
      <c r="D46" s="11" t="s">
        <v>45</v>
      </c>
      <c r="E46" s="11"/>
      <c r="F46" s="11"/>
      <c r="G46" s="11"/>
      <c r="H46" s="22">
        <v>28687000</v>
      </c>
      <c r="I46" s="55">
        <f>5978915+2273100+468000+7500+174690+110500+5972415+2273100+468000+7500+171840+1564523+2273100+468000+7500+177240+176640+1548257+2273100+468000+7500+77802-21000+100+12815.66</f>
        <v>26939137.66</v>
      </c>
      <c r="J46" s="30" t="s">
        <v>72</v>
      </c>
      <c r="K46" s="46">
        <f>+H46-I46</f>
        <v>1747862.3399999999</v>
      </c>
    </row>
    <row r="47" spans="1:11" ht="20.25" customHeight="1" thickBot="1">
      <c r="A47" s="9"/>
      <c r="B47" s="11"/>
      <c r="C47" s="11"/>
      <c r="D47" s="11"/>
      <c r="E47" s="11" t="s">
        <v>19</v>
      </c>
      <c r="F47" s="11"/>
      <c r="G47" s="11"/>
      <c r="H47" s="23">
        <f>SUM(H46)</f>
        <v>28687000</v>
      </c>
      <c r="I47" s="23">
        <f>SUM(I46)</f>
        <v>26939137.66</v>
      </c>
      <c r="J47" s="31" t="s">
        <v>72</v>
      </c>
      <c r="K47" s="33">
        <f>+H47-I47</f>
        <v>1747862.3399999999</v>
      </c>
    </row>
    <row r="48" spans="1:11" ht="20.25" customHeight="1" thickTop="1">
      <c r="A48" s="9"/>
      <c r="B48" s="13" t="s">
        <v>46</v>
      </c>
      <c r="C48" s="15" t="s">
        <v>47</v>
      </c>
      <c r="D48" s="15"/>
      <c r="E48" s="11"/>
      <c r="F48" s="11"/>
      <c r="G48" s="11"/>
      <c r="H48" s="9"/>
      <c r="I48" s="9"/>
      <c r="J48" s="9"/>
      <c r="K48" s="12"/>
    </row>
    <row r="49" spans="1:11" ht="20.25" customHeight="1">
      <c r="A49" s="9"/>
      <c r="B49" s="11"/>
      <c r="C49" s="16">
        <v>5.0999999999999996</v>
      </c>
      <c r="D49" s="11" t="s">
        <v>48</v>
      </c>
      <c r="E49" s="11"/>
      <c r="F49" s="11"/>
      <c r="G49" s="11"/>
      <c r="H49" s="22">
        <v>200000</v>
      </c>
      <c r="I49" s="55">
        <f>17000+58000</f>
        <v>75000</v>
      </c>
      <c r="J49" s="30" t="s">
        <v>72</v>
      </c>
      <c r="K49" s="46">
        <f>+H49-I49</f>
        <v>125000</v>
      </c>
    </row>
    <row r="50" spans="1:11" ht="20.25" customHeight="1">
      <c r="A50" s="9"/>
      <c r="B50" s="11"/>
      <c r="C50" s="16">
        <v>5.2</v>
      </c>
      <c r="D50" s="11" t="s">
        <v>49</v>
      </c>
      <c r="E50" s="11"/>
      <c r="F50" s="11"/>
      <c r="G50" s="11"/>
      <c r="H50" s="22">
        <v>500</v>
      </c>
      <c r="I50" s="55">
        <f>60+20+80+40+60+80+80</f>
        <v>420</v>
      </c>
      <c r="J50" s="30" t="s">
        <v>72</v>
      </c>
      <c r="K50" s="46">
        <f>+H50-I50</f>
        <v>80</v>
      </c>
    </row>
    <row r="51" spans="1:11" ht="20.25" customHeight="1">
      <c r="A51" s="9"/>
      <c r="B51" s="11"/>
      <c r="C51" s="16">
        <v>5.3</v>
      </c>
      <c r="D51" s="11" t="s">
        <v>50</v>
      </c>
      <c r="E51" s="11"/>
      <c r="F51" s="11"/>
      <c r="G51" s="11"/>
      <c r="H51" s="22">
        <v>1500</v>
      </c>
      <c r="I51" s="55">
        <f>1000+300+100+300</f>
        <v>1700</v>
      </c>
      <c r="J51" s="30" t="s">
        <v>73</v>
      </c>
      <c r="K51" s="46">
        <f>+I51-H51</f>
        <v>200</v>
      </c>
    </row>
    <row r="52" spans="1:11" ht="20.25" customHeight="1" thickBot="1">
      <c r="A52" s="9"/>
      <c r="B52" s="11"/>
      <c r="C52" s="16"/>
      <c r="D52" s="11"/>
      <c r="E52" s="11" t="s">
        <v>19</v>
      </c>
      <c r="F52" s="11"/>
      <c r="G52" s="11"/>
      <c r="H52" s="23">
        <f>SUM(H49:H51)</f>
        <v>202000</v>
      </c>
      <c r="I52" s="23">
        <f>SUM(I49:I51)</f>
        <v>77120</v>
      </c>
      <c r="J52" s="31" t="s">
        <v>72</v>
      </c>
      <c r="K52" s="33">
        <f>+K49-K51+K50</f>
        <v>124880</v>
      </c>
    </row>
    <row r="53" spans="1:11" ht="20.25" customHeight="1" thickTop="1">
      <c r="A53" s="9"/>
      <c r="B53" s="13" t="s">
        <v>52</v>
      </c>
      <c r="C53" s="15" t="s">
        <v>51</v>
      </c>
      <c r="D53" s="15"/>
      <c r="E53" s="11"/>
      <c r="F53" s="11"/>
      <c r="G53" s="11"/>
      <c r="H53" s="9"/>
      <c r="I53" s="9"/>
      <c r="J53" s="9"/>
      <c r="K53" s="12"/>
    </row>
    <row r="54" spans="1:11" ht="20.25" customHeight="1">
      <c r="A54" s="9"/>
      <c r="B54" s="11"/>
      <c r="C54" s="16">
        <v>6.1</v>
      </c>
      <c r="D54" s="11" t="s">
        <v>53</v>
      </c>
      <c r="E54" s="11"/>
      <c r="F54" s="11"/>
      <c r="G54" s="11"/>
      <c r="H54" s="48">
        <v>1000</v>
      </c>
      <c r="I54" s="55">
        <v>430</v>
      </c>
      <c r="J54" s="30" t="s">
        <v>72</v>
      </c>
      <c r="K54" s="45">
        <f>+H54-I54</f>
        <v>570</v>
      </c>
    </row>
    <row r="55" spans="1:11" ht="20.25" customHeight="1" thickBot="1">
      <c r="A55" s="9"/>
      <c r="B55" s="11"/>
      <c r="C55" s="11"/>
      <c r="D55" s="11"/>
      <c r="E55" s="11" t="s">
        <v>19</v>
      </c>
      <c r="F55" s="11"/>
      <c r="G55" s="11"/>
      <c r="H55" s="23">
        <f>SUM(H54)</f>
        <v>1000</v>
      </c>
      <c r="I55" s="23">
        <f>SUM(I54)</f>
        <v>430</v>
      </c>
      <c r="J55" s="31" t="s">
        <v>72</v>
      </c>
      <c r="K55" s="32">
        <f>+H55-I55</f>
        <v>570</v>
      </c>
    </row>
    <row r="56" spans="1:11" ht="20.25" customHeight="1" thickTop="1" thickBot="1">
      <c r="A56" s="9"/>
      <c r="B56" s="11"/>
      <c r="C56" s="11"/>
      <c r="D56" s="15" t="s">
        <v>54</v>
      </c>
      <c r="E56" s="11"/>
      <c r="F56" s="11"/>
      <c r="G56" s="11"/>
      <c r="H56" s="34">
        <f>+H55+H52+H47+H44+H22++H39</f>
        <v>50000000</v>
      </c>
      <c r="I56" s="35">
        <f>+I22+I39+I44+I47+I52+I55</f>
        <v>48742207.020000003</v>
      </c>
      <c r="J56" s="36" t="s">
        <v>72</v>
      </c>
      <c r="K56" s="37">
        <f>+K44+K47+K52+K55-K22-K39</f>
        <v>1257792.9799999995</v>
      </c>
    </row>
    <row r="57" spans="1:11" s="44" customFormat="1" ht="12" customHeight="1" thickTop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50"/>
    </row>
    <row r="58" spans="1:11">
      <c r="A58" s="61" t="s">
        <v>1</v>
      </c>
      <c r="B58" s="62"/>
      <c r="C58" s="62"/>
      <c r="D58" s="62"/>
      <c r="E58" s="62"/>
      <c r="F58" s="62"/>
      <c r="G58" s="62"/>
      <c r="H58" s="49" t="s">
        <v>75</v>
      </c>
      <c r="I58" s="43" t="s">
        <v>74</v>
      </c>
      <c r="J58" s="63" t="s">
        <v>71</v>
      </c>
      <c r="K58" s="64"/>
    </row>
    <row r="59" spans="1:11">
      <c r="A59" s="21" t="s">
        <v>55</v>
      </c>
      <c r="B59" s="4"/>
      <c r="C59" s="4"/>
      <c r="D59" s="4"/>
      <c r="E59" s="4"/>
      <c r="F59" s="4"/>
      <c r="G59" s="4"/>
      <c r="H59" s="9"/>
      <c r="I59" s="9"/>
      <c r="J59" s="24"/>
      <c r="K59" s="25"/>
    </row>
    <row r="60" spans="1:11" ht="20.25" customHeight="1">
      <c r="A60" s="9" t="s">
        <v>56</v>
      </c>
      <c r="B60" s="4" t="s">
        <v>57</v>
      </c>
      <c r="C60" s="4"/>
      <c r="D60" s="4"/>
      <c r="E60" s="4"/>
      <c r="F60" s="4"/>
      <c r="G60" s="4"/>
      <c r="H60" s="9"/>
      <c r="I60" s="22"/>
      <c r="J60" s="9"/>
      <c r="K60" s="12"/>
    </row>
    <row r="61" spans="1:11" ht="20.25" customHeight="1">
      <c r="A61" s="9"/>
      <c r="B61" s="6" t="s">
        <v>21</v>
      </c>
      <c r="C61" s="7" t="s">
        <v>58</v>
      </c>
      <c r="D61" s="8"/>
      <c r="E61" s="4"/>
      <c r="F61" s="4"/>
      <c r="G61" s="4"/>
      <c r="H61" s="9"/>
      <c r="I61" s="22"/>
      <c r="J61" s="9"/>
      <c r="K61" s="12"/>
    </row>
    <row r="62" spans="1:11" ht="20.25" customHeight="1">
      <c r="A62" s="9"/>
      <c r="B62" s="4"/>
      <c r="C62" s="3">
        <v>1.1000000000000001</v>
      </c>
      <c r="D62" s="4" t="s">
        <v>59</v>
      </c>
      <c r="E62" s="4"/>
      <c r="F62" s="60" t="s">
        <v>76</v>
      </c>
      <c r="G62" s="4"/>
      <c r="H62" s="59">
        <f>110000+9422400+2400000+60000+320000+50000+213130+10000</f>
        <v>12585530</v>
      </c>
      <c r="I62" s="57">
        <f>260430+640100+111200+80900+9685+60800+2500+9878+152700+64800+2500+629800+624400+112800+112000+231278+620500+112000+237478+613800+112000+383290+611100+118400+247878+603700+120800+248278+602500+123200+254989+598600+123200+265258+595900+127200+248200+592300+128800+268789+590100+128000</f>
        <v>11782031</v>
      </c>
      <c r="J62" s="42" t="s">
        <v>72</v>
      </c>
      <c r="K62" s="46">
        <f t="shared" ref="K62:K63" si="3">+H62-I62</f>
        <v>803499</v>
      </c>
    </row>
    <row r="63" spans="1:11" ht="20.25" customHeight="1">
      <c r="A63" s="9"/>
      <c r="B63" s="4"/>
      <c r="C63" s="3">
        <v>1.2</v>
      </c>
      <c r="D63" s="4" t="s">
        <v>60</v>
      </c>
      <c r="E63" s="4"/>
      <c r="F63" s="4"/>
      <c r="G63" s="4"/>
      <c r="H63" s="40">
        <v>1065678</v>
      </c>
      <c r="I63" s="58">
        <f>66700+289140.2</f>
        <v>355840.2</v>
      </c>
      <c r="J63" s="42" t="s">
        <v>72</v>
      </c>
      <c r="K63" s="46">
        <f t="shared" si="3"/>
        <v>709837.8</v>
      </c>
    </row>
    <row r="64" spans="1:11" ht="20.25" customHeight="1" thickBot="1">
      <c r="A64" s="9"/>
      <c r="B64" s="4"/>
      <c r="C64" s="4"/>
      <c r="D64" s="4"/>
      <c r="E64" s="4" t="s">
        <v>19</v>
      </c>
      <c r="F64" s="4"/>
      <c r="G64" s="4"/>
      <c r="H64" s="23">
        <f>SUM(H62:H63)</f>
        <v>13651208</v>
      </c>
      <c r="I64" s="23">
        <f>SUM(I62:I63)</f>
        <v>12137871.199999999</v>
      </c>
      <c r="J64" s="31" t="s">
        <v>72</v>
      </c>
      <c r="K64" s="33">
        <f t="shared" ref="K64:K69" si="4">+H64-I64</f>
        <v>1513336.8000000007</v>
      </c>
    </row>
    <row r="65" spans="1:11" ht="20.25" customHeight="1" thickTop="1">
      <c r="A65" s="9"/>
      <c r="B65" s="6" t="s">
        <v>22</v>
      </c>
      <c r="C65" s="7" t="s">
        <v>61</v>
      </c>
      <c r="D65" s="8"/>
      <c r="E65" s="8"/>
      <c r="F65" s="4"/>
      <c r="G65" s="4"/>
      <c r="H65" s="59">
        <f>3953520+2786460+1873140+604200+456600+598440+680760+604200-95700-20000-37000-115000+50000-25000</f>
        <v>11314620</v>
      </c>
      <c r="I65" s="55">
        <f>802316.29+801955+801955+801955+801955+801955+811390+811390+811390+813050+804550+801364.84+10489</f>
        <v>9675715.129999999</v>
      </c>
      <c r="J65" s="30" t="s">
        <v>72</v>
      </c>
      <c r="K65" s="46">
        <f t="shared" si="4"/>
        <v>1638904.870000001</v>
      </c>
    </row>
    <row r="66" spans="1:11" ht="20.25" customHeight="1">
      <c r="A66" s="9"/>
      <c r="B66" s="6" t="s">
        <v>40</v>
      </c>
      <c r="C66" s="8" t="s">
        <v>62</v>
      </c>
      <c r="D66" s="8"/>
      <c r="E66" s="8"/>
      <c r="F66" s="4"/>
      <c r="G66" s="4"/>
      <c r="H66" s="52">
        <f>1340040+196560+262440+189000+475560+70000+40000</f>
        <v>2573600</v>
      </c>
      <c r="I66" s="55">
        <f>197893.06+201750+201750+201750+201750+201750+201750+209975.8+203780+203780+203780+214408+612</f>
        <v>2444728.8600000003</v>
      </c>
      <c r="J66" s="30" t="s">
        <v>72</v>
      </c>
      <c r="K66" s="46">
        <f t="shared" si="4"/>
        <v>128871.13999999966</v>
      </c>
    </row>
    <row r="67" spans="1:11" ht="20.25" customHeight="1">
      <c r="A67" s="9"/>
      <c r="B67" s="6" t="s">
        <v>42</v>
      </c>
      <c r="C67" s="8" t="s">
        <v>63</v>
      </c>
      <c r="D67" s="8"/>
      <c r="E67" s="8"/>
      <c r="F67" s="53" t="s">
        <v>77</v>
      </c>
      <c r="G67" s="4"/>
      <c r="H67" s="52">
        <f>3703250+260000+3693242+1040090+40000+1452160+500000+350000+765280-100000+100000-200000+280000-80000+20000-20000+10000-228200+235000-115300-450000+486000-10000-126000+100000-263000+288000-55000+30000-80000+80000-10000+10000-112000+42000-128800+28000+70000-150000+170000-22000-38000+30000-54000+54000-10000+75000+25000</f>
        <v>11684722</v>
      </c>
      <c r="I67" s="55">
        <f>68120.67+28690+15750+334863+164755+11310+333931+145170+7950+591743+23900+36100+238612-2880+405209.9+10230+220700+486810+196560+12850+714884+771912.6+15800+1168451.04+249162+7950+325100+84158+75390+10350+32212+199290+50570+7950+492639+585584.56+24650+1137360+1950+3000+3000+330250.39-840+13650+30000+8000+8000+482290.08+114132.9</f>
        <v>10277221.140000001</v>
      </c>
      <c r="J67" s="30" t="s">
        <v>72</v>
      </c>
      <c r="K67" s="46">
        <f t="shared" si="4"/>
        <v>1407500.8599999994</v>
      </c>
    </row>
    <row r="68" spans="1:11" ht="20.25" customHeight="1">
      <c r="A68" s="9"/>
      <c r="B68" s="6" t="s">
        <v>46</v>
      </c>
      <c r="C68" s="8" t="s">
        <v>64</v>
      </c>
      <c r="D68" s="8"/>
      <c r="E68" s="8"/>
      <c r="F68" s="4"/>
      <c r="G68" s="4"/>
      <c r="H68" s="52">
        <f>550000-10000-50000</f>
        <v>490000</v>
      </c>
      <c r="I68" s="55">
        <f>4474.82+27656.75+20598.21+32692.49+24444.01+22146.43+27389.93+33619.86+35312.16+38594.45+40088.56+65759.63</f>
        <v>372777.3</v>
      </c>
      <c r="J68" s="30" t="s">
        <v>72</v>
      </c>
      <c r="K68" s="46">
        <f t="shared" si="4"/>
        <v>117222.70000000001</v>
      </c>
    </row>
    <row r="69" spans="1:11" ht="20.25" customHeight="1">
      <c r="A69" s="9"/>
      <c r="B69" s="6" t="s">
        <v>52</v>
      </c>
      <c r="C69" s="8" t="s">
        <v>44</v>
      </c>
      <c r="D69" s="8"/>
      <c r="E69" s="8"/>
      <c r="F69" s="4"/>
      <c r="G69" s="4"/>
      <c r="H69" s="59">
        <f>15000+4064000+195000+600000+30000</f>
        <v>4904000</v>
      </c>
      <c r="I69" s="55">
        <f>1392468.17+965000+15000+952000+1003000</f>
        <v>4327468.17</v>
      </c>
      <c r="J69" s="30" t="s">
        <v>72</v>
      </c>
      <c r="K69" s="46">
        <f t="shared" si="4"/>
        <v>576531.83000000007</v>
      </c>
    </row>
    <row r="70" spans="1:11" ht="20.25" customHeight="1">
      <c r="A70" s="9"/>
      <c r="B70" s="6" t="s">
        <v>65</v>
      </c>
      <c r="C70" s="8" t="s">
        <v>66</v>
      </c>
      <c r="D70" s="8"/>
      <c r="E70" s="8"/>
      <c r="F70" s="4"/>
      <c r="G70" s="4"/>
      <c r="H70" s="40">
        <v>25000</v>
      </c>
      <c r="I70" s="22">
        <v>20000</v>
      </c>
      <c r="J70" s="30" t="s">
        <v>72</v>
      </c>
      <c r="K70" s="45">
        <f>+H70-I70</f>
        <v>5000</v>
      </c>
    </row>
    <row r="71" spans="1:11" ht="20.25" customHeight="1" thickBot="1">
      <c r="A71" s="9"/>
      <c r="B71" s="5"/>
      <c r="C71" s="4"/>
      <c r="D71" s="4"/>
      <c r="E71" s="4" t="s">
        <v>19</v>
      </c>
      <c r="F71" s="4"/>
      <c r="G71" s="4"/>
      <c r="H71" s="23">
        <f>SUM(H65:H70)</f>
        <v>30991942</v>
      </c>
      <c r="I71" s="23">
        <f>SUM(I65:I70)</f>
        <v>27117910.600000001</v>
      </c>
      <c r="J71" s="31" t="s">
        <v>72</v>
      </c>
      <c r="K71" s="32">
        <f>SUM(K65:K70)</f>
        <v>3874031.4000000004</v>
      </c>
    </row>
    <row r="72" spans="1:11" ht="20.25" customHeight="1" thickTop="1">
      <c r="A72" s="9" t="s">
        <v>67</v>
      </c>
      <c r="B72" s="4" t="s">
        <v>68</v>
      </c>
      <c r="C72" s="4"/>
      <c r="D72" s="4"/>
      <c r="E72" s="4"/>
      <c r="F72" s="4"/>
      <c r="G72" s="4"/>
      <c r="H72" s="9"/>
      <c r="I72" s="9"/>
      <c r="J72" s="9"/>
      <c r="K72" s="12"/>
    </row>
    <row r="73" spans="1:11" ht="20.25" customHeight="1">
      <c r="A73" s="9"/>
      <c r="B73" s="6" t="s">
        <v>21</v>
      </c>
      <c r="C73" s="8" t="s">
        <v>69</v>
      </c>
      <c r="D73" s="8"/>
      <c r="E73" s="8"/>
      <c r="F73" s="4"/>
      <c r="G73" s="4"/>
      <c r="H73" s="52">
        <f>409550+212800+52000+32000+38500+4330000+10000+108500+126500+37000</f>
        <v>5356850</v>
      </c>
      <c r="I73" s="55">
        <f>43900+646000+487350+389000+1911000+110353.18+531000+293000+545000+58800+104430+8800</f>
        <v>5128633.18</v>
      </c>
      <c r="J73" s="30" t="s">
        <v>72</v>
      </c>
      <c r="K73" s="46">
        <f>+H73-I73</f>
        <v>228216.8200000003</v>
      </c>
    </row>
    <row r="74" spans="1:11" ht="20.25" customHeight="1" thickBot="1">
      <c r="A74" s="9"/>
      <c r="B74" s="4"/>
      <c r="C74" s="4"/>
      <c r="D74" s="8" t="s">
        <v>70</v>
      </c>
      <c r="E74" s="4"/>
      <c r="F74" s="4"/>
      <c r="G74" s="4"/>
      <c r="H74" s="38">
        <f>+H71+H73+H64</f>
        <v>50000000</v>
      </c>
      <c r="I74" s="38">
        <f>+I64+I71+I73</f>
        <v>44384414.979999997</v>
      </c>
      <c r="J74" s="31" t="s">
        <v>72</v>
      </c>
      <c r="K74" s="39">
        <f>+K64+K71+K73</f>
        <v>5615585.0200000014</v>
      </c>
    </row>
    <row r="75" spans="1:11" ht="13.5" customHeight="1" thickTop="1">
      <c r="A75" s="51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</sheetData>
  <sheetProtection password="CC6F" sheet="1" objects="1" scenarios="1"/>
  <mergeCells count="9">
    <mergeCell ref="A58:G58"/>
    <mergeCell ref="J58:K58"/>
    <mergeCell ref="A1:K1"/>
    <mergeCell ref="A2:K2"/>
    <mergeCell ref="A3:K3"/>
    <mergeCell ref="A4:G4"/>
    <mergeCell ref="J4:K4"/>
    <mergeCell ref="A41:G41"/>
    <mergeCell ref="J41:K41"/>
  </mergeCells>
  <pageMargins left="0.19685039370078741" right="0.11811023622047245" top="0.19685039370078741" bottom="7.874015748031496E-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</dc:creator>
  <cp:lastModifiedBy>Windows User</cp:lastModifiedBy>
  <cp:lastPrinted>2017-10-17T09:21:26Z</cp:lastPrinted>
  <dcterms:created xsi:type="dcterms:W3CDTF">2016-01-07T08:27:31Z</dcterms:created>
  <dcterms:modified xsi:type="dcterms:W3CDTF">2018-11-07T02:19:03Z</dcterms:modified>
</cp:coreProperties>
</file>